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1640" activeTab="4"/>
  </bookViews>
  <sheets>
    <sheet name="Баланс" sheetId="1" r:id="rId1"/>
    <sheet name="ЧА" sheetId="2" r:id="rId2"/>
    <sheet name="Донцова" sheetId="3" r:id="rId3"/>
    <sheet name="Савицкая" sheetId="4" r:id="rId4"/>
    <sheet name="Салов" sheetId="5" r:id="rId5"/>
  </sheets>
  <externalReferences>
    <externalReference r:id="rId8"/>
    <externalReference r:id="rId9"/>
  </externalReferences>
  <definedNames>
    <definedName name="produce">'[1]Параметры'!$D$10</definedName>
    <definedName name="usd">'[1]Параметры'!$D$7</definedName>
    <definedName name="Баланс1">'[2]2'!$B$18</definedName>
    <definedName name="Баланс2">'[2]2'!$C$18</definedName>
    <definedName name="Итого">'[2]2'!$F$18</definedName>
    <definedName name="_xlnm.Print_Area" localSheetId="1">'ЧА'!$A$1:$G$33</definedName>
  </definedNames>
  <calcPr calcMode="autoNoTable" fullCalcOnLoad="1"/>
</workbook>
</file>

<file path=xl/comments4.xml><?xml version="1.0" encoding="utf-8"?>
<comments xmlns="http://schemas.openxmlformats.org/spreadsheetml/2006/main">
  <authors>
    <author>Nplan</author>
  </authors>
  <commentList>
    <comment ref="C12" authorId="0">
      <text>
        <r>
          <rPr>
            <b/>
            <sz val="8"/>
            <rFont val="Tahoma"/>
            <family val="0"/>
          </rPr>
          <t>Nplan:</t>
        </r>
        <r>
          <rPr>
            <sz val="8"/>
            <rFont val="Tahoma"/>
            <family val="0"/>
          </rPr>
          <t xml:space="preserve">
определяется в процентах как отношение просроченной кредиторской задолженности к совокупным пассивам</t>
        </r>
      </text>
    </comment>
  </commentList>
</comments>
</file>

<file path=xl/sharedStrings.xml><?xml version="1.0" encoding="utf-8"?>
<sst xmlns="http://schemas.openxmlformats.org/spreadsheetml/2006/main" count="584" uniqueCount="445">
  <si>
    <t>АКТИВ</t>
  </si>
  <si>
    <t>Код показателя</t>
  </si>
  <si>
    <t>На начало отчетного года</t>
  </si>
  <si>
    <t>На конец отчетного  периода</t>
  </si>
  <si>
    <t>I. ВНЕОБОРОТНЫЕ АКТИВЫ</t>
  </si>
  <si>
    <t>Нематериальные активы</t>
  </si>
  <si>
    <t>110</t>
  </si>
  <si>
    <t xml:space="preserve">Основные средства </t>
  </si>
  <si>
    <t>120</t>
  </si>
  <si>
    <t>Незавершенное строительство</t>
  </si>
  <si>
    <t>130</t>
  </si>
  <si>
    <t>Доходные вложения в материальные ценности</t>
  </si>
  <si>
    <t>135</t>
  </si>
  <si>
    <t>Долгосрочные финансовые вложения</t>
  </si>
  <si>
    <t>140</t>
  </si>
  <si>
    <t>Отложенные финансовые активы</t>
  </si>
  <si>
    <t>145</t>
  </si>
  <si>
    <t>Прочие внеоборотные активы</t>
  </si>
  <si>
    <t>150</t>
  </si>
  <si>
    <t>ИТОГО по разделу I</t>
  </si>
  <si>
    <t>190</t>
  </si>
  <si>
    <t>II. ОБОРОТНЫЕ АКТИВЫ</t>
  </si>
  <si>
    <t>Запасы</t>
  </si>
  <si>
    <t>210</t>
  </si>
  <si>
    <t>в том числе:</t>
  </si>
  <si>
    <t xml:space="preserve">сырье, материалы и другие аналогичные ценности </t>
  </si>
  <si>
    <t>211</t>
  </si>
  <si>
    <t xml:space="preserve">животные на выращивании и откорме </t>
  </si>
  <si>
    <t>212</t>
  </si>
  <si>
    <t xml:space="preserve">затраты в незавершенном производстве </t>
  </si>
  <si>
    <t>213</t>
  </si>
  <si>
    <t xml:space="preserve">готовая продукция и товары для перепродажи </t>
  </si>
  <si>
    <t>214</t>
  </si>
  <si>
    <t>товары отгруженные</t>
  </si>
  <si>
    <t>215</t>
  </si>
  <si>
    <t>расходы будущих периодов</t>
  </si>
  <si>
    <t>216</t>
  </si>
  <si>
    <t>прочие запасы и затраты</t>
  </si>
  <si>
    <t>217</t>
  </si>
  <si>
    <t>Налог на добавленную стоимость по приобретенным ценностям</t>
  </si>
  <si>
    <t>220</t>
  </si>
  <si>
    <t>Дебиторская задолженность (платежи по которой ожидаются более чем через 12 месяцев после отчетной даты)</t>
  </si>
  <si>
    <t>230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</si>
  <si>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</si>
  <si>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</si>
  <si>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240</t>
  </si>
  <si>
    <t>241</t>
  </si>
  <si>
    <t>Краткосрочные финансовые вложения</t>
  </si>
  <si>
    <t>250</t>
  </si>
  <si>
    <t>Денежные средства</t>
  </si>
  <si>
    <t>260</t>
  </si>
  <si>
    <t>Прочие оборотные активы</t>
  </si>
  <si>
    <t>270</t>
  </si>
  <si>
    <t>ИТОГО по разделу II</t>
  </si>
  <si>
    <t>290</t>
  </si>
  <si>
    <t xml:space="preserve">БАЛАНС </t>
  </si>
  <si>
    <t>300</t>
  </si>
  <si>
    <t>ПАССИВ</t>
  </si>
  <si>
    <t xml:space="preserve">Код </t>
  </si>
  <si>
    <t>III. КАПИТАЛ И РЕЗЕРВЫ</t>
  </si>
  <si>
    <t xml:space="preserve">Уставный капитал </t>
  </si>
  <si>
    <t>410</t>
  </si>
  <si>
    <t>Собственные акции, выкупленные у акционеров</t>
  </si>
  <si>
    <t xml:space="preserve">Добавочный капитал </t>
  </si>
  <si>
    <t>420</t>
  </si>
  <si>
    <t>Резервный капитал</t>
  </si>
  <si>
    <t>430</t>
  </si>
  <si>
    <t>резервы, образованные в соответствии с законодательством</t>
  </si>
  <si>
    <t>431</t>
  </si>
  <si>
    <t xml:space="preserve">резервы, образованные в соответствии с учредительными </t>
  </si>
  <si>
    <t>документами</t>
  </si>
  <si>
    <t>432</t>
  </si>
  <si>
    <t>Целевое финансирование</t>
  </si>
  <si>
    <t>450</t>
  </si>
  <si>
    <t>Нераспределенная прибыль (непокрытый убыток)</t>
  </si>
  <si>
    <t>470</t>
  </si>
  <si>
    <t>ИТОГО по разделу III</t>
  </si>
  <si>
    <t>490</t>
  </si>
  <si>
    <t>IV. ДОЛГОСРОЧНЫЕ ОБЯЗАТЕЛЬСТВА</t>
  </si>
  <si>
    <t xml:space="preserve">Займы и кредиты </t>
  </si>
  <si>
    <t>510</t>
  </si>
  <si>
    <t>Отложенные налоговые обязательства</t>
  </si>
  <si>
    <t>515</t>
  </si>
  <si>
    <t>Прочие долгосрочные обязательства</t>
  </si>
  <si>
    <t>520</t>
  </si>
  <si>
    <t>ИТОГО по разделу IV</t>
  </si>
  <si>
    <t>590</t>
  </si>
  <si>
    <t>V. КРАТКОСРОЧНЫЕ ОБЯЗАТЕЛЬСТВА</t>
  </si>
  <si>
    <t>Займы и кредиты</t>
  </si>
  <si>
    <t>610</t>
  </si>
  <si>
    <t>Кредиторская задолженность</t>
  </si>
  <si>
    <t>620</t>
  </si>
  <si>
    <t>поставщики и подрядчики</t>
  </si>
  <si>
    <t>621</t>
  </si>
  <si>
    <t>задолженность перед персоналом организации</t>
  </si>
  <si>
    <t>622</t>
  </si>
  <si>
    <t xml:space="preserve">задолженность перед государственными внебюджетными фондами </t>
  </si>
  <si>
    <t>623</t>
  </si>
  <si>
    <t xml:space="preserve">задолженность по налогам и сборам </t>
  </si>
  <si>
    <t>624</t>
  </si>
  <si>
    <t>прочие кредиторы</t>
  </si>
  <si>
    <t>625</t>
  </si>
  <si>
    <t>Задолженность перед участниками (учредителям) по выплате доходов</t>
  </si>
  <si>
    <t>630</t>
  </si>
  <si>
    <t xml:space="preserve">Доходы будущих периодов </t>
  </si>
  <si>
    <t>640</t>
  </si>
  <si>
    <t xml:space="preserve">Резервы предстоящих расходов </t>
  </si>
  <si>
    <t>650</t>
  </si>
  <si>
    <t>Прочие краткосрочные обязательства</t>
  </si>
  <si>
    <t>660</t>
  </si>
  <si>
    <t>ИТОГО по разделу V</t>
  </si>
  <si>
    <t>690</t>
  </si>
  <si>
    <t>700</t>
  </si>
  <si>
    <t>Проверка  баланса</t>
  </si>
  <si>
    <t>№ п/п</t>
  </si>
  <si>
    <t>Показатель</t>
  </si>
  <si>
    <t>Отложенные налоговые активы</t>
  </si>
  <si>
    <t>010</t>
  </si>
  <si>
    <t>020</t>
  </si>
  <si>
    <t>Валовая прибыль</t>
  </si>
  <si>
    <t>029</t>
  </si>
  <si>
    <t>Коммерческие расходы</t>
  </si>
  <si>
    <t>030</t>
  </si>
  <si>
    <t>Управленческие расходы</t>
  </si>
  <si>
    <t>040</t>
  </si>
  <si>
    <t>050</t>
  </si>
  <si>
    <t>Проценты к получению</t>
  </si>
  <si>
    <t>060</t>
  </si>
  <si>
    <t>Проценты к уплате</t>
  </si>
  <si>
    <t>070</t>
  </si>
  <si>
    <t>Доходы от участия в других организациях</t>
  </si>
  <si>
    <t>080</t>
  </si>
  <si>
    <t>090</t>
  </si>
  <si>
    <t>100</t>
  </si>
  <si>
    <t>Внереализационные доходы</t>
  </si>
  <si>
    <t>Внереализационные расходы</t>
  </si>
  <si>
    <t>Текущий налог на прибыль</t>
  </si>
  <si>
    <t>За отчетный период</t>
  </si>
  <si>
    <t xml:space="preserve">наименование </t>
  </si>
  <si>
    <t>I. Доходы и расходы по обычным видам деятельности</t>
  </si>
  <si>
    <t>Себестоимость проданных товаров, продукции, работ, услуг</t>
  </si>
  <si>
    <t xml:space="preserve">Прибыль (убыток) от продаж </t>
  </si>
  <si>
    <t>Прочие доходы и расходы</t>
  </si>
  <si>
    <t>Прочие доходы</t>
  </si>
  <si>
    <t>Прочие расходы</t>
  </si>
  <si>
    <t xml:space="preserve">Прибыль (убыток) до налогообложения </t>
  </si>
  <si>
    <t>141</t>
  </si>
  <si>
    <t>142</t>
  </si>
  <si>
    <t>Чистая прибыль (убыток) отчетного периода</t>
  </si>
  <si>
    <t>СПРАВОЧНО</t>
  </si>
  <si>
    <t>Постоянные налоговые обязательства (активы)</t>
  </si>
  <si>
    <t>200</t>
  </si>
  <si>
    <t>Базовая пррибыль (убыток) на акцию</t>
  </si>
  <si>
    <t>Разводненная прибыль (убыток) на акцию</t>
  </si>
  <si>
    <t>За аналогичный период предыдущего года</t>
  </si>
  <si>
    <t>Коэффициент абсолютной ликвидности</t>
  </si>
  <si>
    <t>Коэффициент текущей ликвидности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</si>
  <si>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</si>
  <si>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1.1.</t>
  </si>
  <si>
    <t>1.2.</t>
  </si>
  <si>
    <t>1.3.</t>
  </si>
  <si>
    <t>2.1.</t>
  </si>
  <si>
    <t>2.2.</t>
  </si>
  <si>
    <t>2.3.</t>
  </si>
  <si>
    <t>Интегральная балльная оценка финансовой устойчивости предприятия (методика Л.В. Донцова и Н.А. Никифорова)</t>
  </si>
  <si>
    <t>Количество баллов</t>
  </si>
  <si>
    <t>Фактический уровень показателя</t>
  </si>
  <si>
    <t xml:space="preserve">Коэффициент абсолютной ликвидности </t>
  </si>
  <si>
    <t xml:space="preserve">Коэффициент критической оценки </t>
  </si>
  <si>
    <t xml:space="preserve">Коэффициент текущей ликвидности </t>
  </si>
  <si>
    <t xml:space="preserve">Коэффициент финансовой независимости </t>
  </si>
  <si>
    <t xml:space="preserve">Коэффициент обеспеченности собственными источниками финансирования </t>
  </si>
  <si>
    <t>Коэффициент финансовой независимости в части формирования запасов и затрат</t>
  </si>
  <si>
    <t>На начало периода</t>
  </si>
  <si>
    <t>На конец периода</t>
  </si>
  <si>
    <t>1.</t>
  </si>
  <si>
    <t>2.</t>
  </si>
  <si>
    <t>3.</t>
  </si>
  <si>
    <t>4.</t>
  </si>
  <si>
    <t>5.</t>
  </si>
  <si>
    <t>6.</t>
  </si>
  <si>
    <t>Границы классов согласно критериям</t>
  </si>
  <si>
    <t xml:space="preserve">I </t>
  </si>
  <si>
    <t xml:space="preserve">II </t>
  </si>
  <si>
    <t xml:space="preserve">III </t>
  </si>
  <si>
    <t xml:space="preserve">IV </t>
  </si>
  <si>
    <t>V</t>
  </si>
  <si>
    <t xml:space="preserve">0,5 и выше = 20 баллов </t>
  </si>
  <si>
    <t xml:space="preserve">0,4 = 16 баллов </t>
  </si>
  <si>
    <t xml:space="preserve">0,3 = 12 баллов </t>
  </si>
  <si>
    <t xml:space="preserve">0,2 = 8 баллов </t>
  </si>
  <si>
    <t xml:space="preserve">0,1 = 4 балла </t>
  </si>
  <si>
    <t xml:space="preserve">1,5 и выше = 18 баллов </t>
  </si>
  <si>
    <t xml:space="preserve">1,4 = 15 баллов </t>
  </si>
  <si>
    <t xml:space="preserve">1,3 = 12 баллов </t>
  </si>
  <si>
    <t xml:space="preserve">1,2-1,1 = 9-6 баллов </t>
  </si>
  <si>
    <t xml:space="preserve">1,0 = 3 балла </t>
  </si>
  <si>
    <t xml:space="preserve">2 и выше = 16,5 балла </t>
  </si>
  <si>
    <t xml:space="preserve">1,9-1,7 = 15-12 баллов </t>
  </si>
  <si>
    <t xml:space="preserve">1,6-1,4 = 10,5-7,5 балла </t>
  </si>
  <si>
    <t xml:space="preserve">1,3-1,1 = 6-3 балла </t>
  </si>
  <si>
    <t xml:space="preserve">1 = 1,5 балла </t>
  </si>
  <si>
    <t xml:space="preserve">0,6 и выше = 17 баллов </t>
  </si>
  <si>
    <t xml:space="preserve">0,59-0,54 = 16,2-12,2 балла </t>
  </si>
  <si>
    <t xml:space="preserve">0,53-0,43 = 11,4-7,4 балла </t>
  </si>
  <si>
    <t xml:space="preserve">0,47-0,41 = 6,6-1,8 балла </t>
  </si>
  <si>
    <t xml:space="preserve">0,4 = 1 балл </t>
  </si>
  <si>
    <t xml:space="preserve">0,5 и выше = 15 баллов </t>
  </si>
  <si>
    <t xml:space="preserve">0,4 = 12 баллов </t>
  </si>
  <si>
    <t xml:space="preserve">0,3 = 9 баллов </t>
  </si>
  <si>
    <t xml:space="preserve">0,2 = 6 баллов </t>
  </si>
  <si>
    <t xml:space="preserve">0,1 = 3 балла </t>
  </si>
  <si>
    <t xml:space="preserve">1 и выше = 13,5 балла </t>
  </si>
  <si>
    <t xml:space="preserve">0,9 = 11 баллов </t>
  </si>
  <si>
    <t xml:space="preserve">0,8 = 8,5 баллов </t>
  </si>
  <si>
    <t xml:space="preserve">0,7-0,6 = 6,0-3,5 балла </t>
  </si>
  <si>
    <t xml:space="preserve">0,5 = 1 балл </t>
  </si>
  <si>
    <t xml:space="preserve">Минимальное значение границы </t>
  </si>
  <si>
    <t xml:space="preserve">63,4 - 56,5 </t>
  </si>
  <si>
    <t xml:space="preserve">41,6 - 28,3 </t>
  </si>
  <si>
    <t>ИТОГО:</t>
  </si>
  <si>
    <t>х</t>
  </si>
  <si>
    <t>I класс — предприятия с хорошим запасом финансовой устойчивости, позволяющим быть уверенным в возврате заемных средств;</t>
  </si>
  <si>
    <t>II  класс — предприятия, демонстрирующие некоторую степень риска по задолженности, но еще не рассматриваются как рискованные;</t>
  </si>
  <si>
    <t>III класс — проблемные предприятия. Здесь вряд ли существует риск потери средств, но полное получение процентов представляется сомнительным;</t>
  </si>
  <si>
    <t>IV класс — предприятия с высоким риском банкротства даже после принятия мер по финансовому оздоровлению. Кредиторы рискуют потерять все свои средства и проценты;</t>
  </si>
  <si>
    <t>V класс — предприятия высочайшего риска, практически несостоятельные.</t>
  </si>
  <si>
    <t>Устанавливается 5 категорий по степени риска:</t>
  </si>
  <si>
    <t>Интегральная балльная оценка финансовой устойчивости предприятия (методика Г.В. Савицкой)</t>
  </si>
  <si>
    <t xml:space="preserve">85,2 - 66 </t>
  </si>
  <si>
    <t>Коэффициент финансовой независимости</t>
  </si>
  <si>
    <t>Коэффициент обеспеченности собственными оборотными средствами</t>
  </si>
  <si>
    <t>Показатель обеспеченности обязательств должника его активами</t>
  </si>
  <si>
    <t>Значение показателей</t>
  </si>
  <si>
    <t>Нормальное</t>
  </si>
  <si>
    <t>Проблемное</t>
  </si>
  <si>
    <t>Кризисное</t>
  </si>
  <si>
    <t>Больше 0,4</t>
  </si>
  <si>
    <t>От 0,4 до 0,2</t>
  </si>
  <si>
    <t>Меньше 0,2</t>
  </si>
  <si>
    <t>Больше 2</t>
  </si>
  <si>
    <t>От 2 до 1</t>
  </si>
  <si>
    <t>Меньше 1</t>
  </si>
  <si>
    <t>Больше 1,5</t>
  </si>
  <si>
    <t>От 1,5 до 1</t>
  </si>
  <si>
    <t>Меньше 3 мес.</t>
  </si>
  <si>
    <t>От 3 мес. до 12 мес.</t>
  </si>
  <si>
    <t>Больше 12 мес.</t>
  </si>
  <si>
    <t>Больше 0,5</t>
  </si>
  <si>
    <t>От 0,5 до 0,3</t>
  </si>
  <si>
    <t>Меньше 0,3</t>
  </si>
  <si>
    <t>Больше 0,3</t>
  </si>
  <si>
    <t>От 0,3 до 0</t>
  </si>
  <si>
    <t>Меньше 0</t>
  </si>
  <si>
    <t>От 0 до 0,2</t>
  </si>
  <si>
    <t>Свыше 0,2</t>
  </si>
  <si>
    <t>От 0 до 0,1</t>
  </si>
  <si>
    <t>Свыше 0,1</t>
  </si>
  <si>
    <t>Больше 0,1</t>
  </si>
  <si>
    <t>От 0,1 до 0,1</t>
  </si>
  <si>
    <t>Меньше -0,1</t>
  </si>
  <si>
    <t>Больше 0,08</t>
  </si>
  <si>
    <t>Меньше 0,08</t>
  </si>
  <si>
    <t>7.</t>
  </si>
  <si>
    <t>8.</t>
  </si>
  <si>
    <t>9.</t>
  </si>
  <si>
    <t>10.</t>
  </si>
  <si>
    <t>Степень платежеспособности по текущим обязательствам</t>
  </si>
  <si>
    <t>Коэффициент автономии (финансовой независимости)</t>
  </si>
  <si>
    <t>Доля просроченной кредиторской задолженности в пассивах</t>
  </si>
  <si>
    <t>Отношение дебиторской задолженности к совокупным активам</t>
  </si>
  <si>
    <t>Рентабельность активов</t>
  </si>
  <si>
    <t>Норма чистой прибыли</t>
  </si>
  <si>
    <t>Граничные и нормальные значения  финансовых коэффициентов</t>
  </si>
  <si>
    <t>Группировка предприятий на классы по уровню платежеспособности</t>
  </si>
  <si>
    <t>I класс</t>
  </si>
  <si>
    <t>II класс</t>
  </si>
  <si>
    <t>III класс</t>
  </si>
  <si>
    <t>IV класс</t>
  </si>
  <si>
    <t>V класс</t>
  </si>
  <si>
    <t>Рентабельность совокупного капитала, %</t>
  </si>
  <si>
    <t>30 и выше  (50 баллов)</t>
  </si>
  <si>
    <t>29,9-20   (49,9-35 баллов)</t>
  </si>
  <si>
    <t>19,9-10 (34,9-20 баллов)</t>
  </si>
  <si>
    <t>9,9-1 (19,9-5 баллов)</t>
  </si>
  <si>
    <t>менее 1    (0 баллов)</t>
  </si>
  <si>
    <t>2,0 и выше (30 баллов)</t>
  </si>
  <si>
    <t>1,99 -1,7 (29,9-20 баллов)</t>
  </si>
  <si>
    <t>1,69-1,4 (19,9 -10 баллов)</t>
  </si>
  <si>
    <t>1,39:1,1  (9,9 - баллов)</t>
  </si>
  <si>
    <t>1 и ниже   (0 баллов)</t>
  </si>
  <si>
    <t>0,7 и выше (20 баллов)</t>
  </si>
  <si>
    <t>0,69-0,45 (19,9 - 10 баллов)</t>
  </si>
  <si>
    <t>0,44-0,30  (9,9-5 баллов)</t>
  </si>
  <si>
    <t>0,29 -0,20 (5-1 баллов)</t>
  </si>
  <si>
    <t>менее 0,2  (0 баллов)</t>
  </si>
  <si>
    <t>Границы классов</t>
  </si>
  <si>
    <t>100 баллов</t>
  </si>
  <si>
    <t>99-65 баллов</t>
  </si>
  <si>
    <t>64-35 баллов</t>
  </si>
  <si>
    <t>34-6 баллов</t>
  </si>
  <si>
    <t>0 баллов</t>
  </si>
  <si>
    <t xml:space="preserve">         I класс – предприятия с хорошим запасом финансовой устойчивости, позволяющим быть уверенным в возврате заемных средств;</t>
  </si>
  <si>
    <t xml:space="preserve">         II класс – предприятия, демонстрирующие некоторую степень риска по задолженности, но еще не рассматривающиеся как рискованные;</t>
  </si>
  <si>
    <t xml:space="preserve">         III класс – проблемные предприятия;</t>
  </si>
  <si>
    <t xml:space="preserve">         IV класс – предприятия с высоким риском банкротства даже после принятия мер по финансовому оздоровлению. Кредиторы рискуют потерять свои средства и проценты;</t>
  </si>
  <si>
    <t xml:space="preserve">         V класс – предприятия высочайшего риска, практически несостоятельные.</t>
  </si>
  <si>
    <t>значение</t>
  </si>
  <si>
    <t>баллы</t>
  </si>
  <si>
    <t>Коэффициент финансовой независимости (автономии)</t>
  </si>
  <si>
    <t>Итого</t>
  </si>
  <si>
    <t>Класс финансовой устойчивости</t>
  </si>
  <si>
    <t>Оценка класса предприятия по уровню платежеспособности</t>
  </si>
  <si>
    <t>4 класс</t>
  </si>
  <si>
    <t>Спектр-балльный метод (методика А.Н.Салова, В.Г. Маслова)</t>
  </si>
  <si>
    <t>Сводные показатели</t>
  </si>
  <si>
    <t>Основные средства</t>
  </si>
  <si>
    <t>Резервы предстоящих расходов</t>
  </si>
  <si>
    <t>Показатели финансовой устойчивости</t>
  </si>
  <si>
    <t>Коэффициент независимости или автономности</t>
  </si>
  <si>
    <t>Коэффициент соотношения привлеченных и собственных средств</t>
  </si>
  <si>
    <t>Коэффициент дебиторской задолженности</t>
  </si>
  <si>
    <t>Динамика</t>
  </si>
  <si>
    <t>выше 0,8</t>
  </si>
  <si>
    <t>0,8-0,5</t>
  </si>
  <si>
    <t>0,5-0,2</t>
  </si>
  <si>
    <t>ниже 0,2</t>
  </si>
  <si>
    <t>Зона риска</t>
  </si>
  <si>
    <t>Зона опасности</t>
  </si>
  <si>
    <t>Зона стабильности</t>
  </si>
  <si>
    <t>Зона благополучия</t>
  </si>
  <si>
    <t>Показатели платежеспособности</t>
  </si>
  <si>
    <t>Промежуточный коэффициент покрытия</t>
  </si>
  <si>
    <t>Коэффициент обеспеченности запасами краткосрочных обязательств</t>
  </si>
  <si>
    <t>ниже 0,5</t>
  </si>
  <si>
    <t>0,5-0,65</t>
  </si>
  <si>
    <t>0,65-0,8</t>
  </si>
  <si>
    <t>выше 0,15</t>
  </si>
  <si>
    <t>0,15-1,0</t>
  </si>
  <si>
    <t>0,1-0,05</t>
  </si>
  <si>
    <t>ниже 0,05</t>
  </si>
  <si>
    <t>0,2-0,3</t>
  </si>
  <si>
    <t>0,3-0,4</t>
  </si>
  <si>
    <t>выше 0,4</t>
  </si>
  <si>
    <t>ниже 0,7</t>
  </si>
  <si>
    <t>0,7-0,85</t>
  </si>
  <si>
    <t>0,85-1,0</t>
  </si>
  <si>
    <t>выше 1,0</t>
  </si>
  <si>
    <t>ниже 0,4</t>
  </si>
  <si>
    <t>0,4-0,6</t>
  </si>
  <si>
    <t>0,6-0,8</t>
  </si>
  <si>
    <t xml:space="preserve">выше 0,8 </t>
  </si>
  <si>
    <t>Показатели деловой активности</t>
  </si>
  <si>
    <t>3.1.</t>
  </si>
  <si>
    <t>3.2.</t>
  </si>
  <si>
    <t>3.3.</t>
  </si>
  <si>
    <t>Общий коэффициент оборачиваемости</t>
  </si>
  <si>
    <t>Коэффициент оборачиваемости запасов</t>
  </si>
  <si>
    <t>Коэффициент оборачиваемости собственных средств</t>
  </si>
  <si>
    <t>ниже 2,0</t>
  </si>
  <si>
    <t>2,0-3,0</t>
  </si>
  <si>
    <t>3,0-4,0</t>
  </si>
  <si>
    <t>выше 4,0</t>
  </si>
  <si>
    <t>ниже 0,8</t>
  </si>
  <si>
    <t>0,8-0,9</t>
  </si>
  <si>
    <t>0,9-1,0</t>
  </si>
  <si>
    <t>ниже 1,2</t>
  </si>
  <si>
    <t>1,2-1,5</t>
  </si>
  <si>
    <t>1,5-1,8</t>
  </si>
  <si>
    <t>выше 1,8</t>
  </si>
  <si>
    <t>0,05-0,1</t>
  </si>
  <si>
    <t>0,1-0,15</t>
  </si>
  <si>
    <t>ниже 1,0</t>
  </si>
  <si>
    <t>1,0-0,5</t>
  </si>
  <si>
    <t>1,5-2,0</t>
  </si>
  <si>
    <t>выше 2,0</t>
  </si>
  <si>
    <t>ниже 0,07</t>
  </si>
  <si>
    <t>0,07-0,15</t>
  </si>
  <si>
    <t>0,15-0,2</t>
  </si>
  <si>
    <t>выше 0,2</t>
  </si>
  <si>
    <t>ниже 0,1</t>
  </si>
  <si>
    <t>0,1-0,2</t>
  </si>
  <si>
    <t>выше 0,3</t>
  </si>
  <si>
    <t>ниже 0,15</t>
  </si>
  <si>
    <t>0,15-0,3</t>
  </si>
  <si>
    <t>Показатели оценки структуры баланса</t>
  </si>
  <si>
    <t>4.1.</t>
  </si>
  <si>
    <t>4.2.</t>
  </si>
  <si>
    <t>4.3.</t>
  </si>
  <si>
    <t>Балл</t>
  </si>
  <si>
    <t>Коэффициент обеспеченности собственными средствами</t>
  </si>
  <si>
    <t>Расчет стоимости чистых активов акционерного общества</t>
  </si>
  <si>
    <t>Наименование показателя</t>
  </si>
  <si>
    <t>Код строки бухгалтерского баланса</t>
  </si>
  <si>
    <t xml:space="preserve">I. </t>
  </si>
  <si>
    <t>Активы</t>
  </si>
  <si>
    <t xml:space="preserve">2. </t>
  </si>
  <si>
    <t>140+250-252</t>
  </si>
  <si>
    <t>230+240-244</t>
  </si>
  <si>
    <t>11.</t>
  </si>
  <si>
    <t>12.</t>
  </si>
  <si>
    <t>Итого активы, принимаемые к расчету (сумма данных пунктов 1 - 11)</t>
  </si>
  <si>
    <t>II.</t>
  </si>
  <si>
    <t>Пассивы</t>
  </si>
  <si>
    <t>13.</t>
  </si>
  <si>
    <t>Долгосрочные обязательства по займам и кредитам</t>
  </si>
  <si>
    <t>14.</t>
  </si>
  <si>
    <t>515+520</t>
  </si>
  <si>
    <t>15.</t>
  </si>
  <si>
    <t>Краткосрочные обязательства по займам и кредитам</t>
  </si>
  <si>
    <t>16.</t>
  </si>
  <si>
    <t>17.</t>
  </si>
  <si>
    <t>Задолженность участникам (учредителям) по выплате доходов</t>
  </si>
  <si>
    <t>18.</t>
  </si>
  <si>
    <t>19.</t>
  </si>
  <si>
    <t>20.</t>
  </si>
  <si>
    <t>Итого пассивы, принимаемые к расчету (сумма данных пунктов 13 - 19)</t>
  </si>
  <si>
    <t>21.</t>
  </si>
  <si>
    <t>Стоимость чистых активов акционерного общества (итого активы, принимаемые к расчету (стр. 12) минус итого пассивы, принимаемые к расчету (стр. 20))</t>
  </si>
  <si>
    <t>1</t>
  </si>
  <si>
    <t>За исключением фактических затрат по выкупу собственных акций у акционеров.</t>
  </si>
  <si>
    <t>2</t>
  </si>
  <si>
    <t>Включая величину отложенных налоговых активов.</t>
  </si>
  <si>
    <t>3</t>
  </si>
  <si>
    <t>За исключением задолженности участников (учредителей) по взносам в уставный капитал.</t>
  </si>
  <si>
    <t>4</t>
  </si>
  <si>
    <t>Включая величину отложенных налоговых обязательств.</t>
  </si>
  <si>
    <t>5</t>
  </si>
  <si>
    <t>В  данных  о  величине прочих долгосрочных и краткосрочных обязательств приводятся суммы созданных в</t>
  </si>
  <si>
    <t>установленном порядке резервов в связи с условными обязательствами и с прекращением деятельности.</t>
  </si>
  <si>
    <r>
      <t xml:space="preserve">Долгосрочные и краткосрочные финансовые вложения </t>
    </r>
    <r>
      <rPr>
        <vertAlign val="superscript"/>
        <sz val="9"/>
        <rFont val="Arial"/>
        <family val="2"/>
      </rPr>
      <t>1</t>
    </r>
  </si>
  <si>
    <r>
      <t xml:space="preserve">Прочие внеоборотные активы </t>
    </r>
    <r>
      <rPr>
        <vertAlign val="superscript"/>
        <sz val="9"/>
        <rFont val="Arial"/>
        <family val="2"/>
      </rPr>
      <t>2</t>
    </r>
  </si>
  <si>
    <r>
      <t xml:space="preserve">Дебиторская  задолженность </t>
    </r>
    <r>
      <rPr>
        <vertAlign val="superscript"/>
        <sz val="9"/>
        <rFont val="Arial"/>
        <family val="2"/>
      </rPr>
      <t>3</t>
    </r>
  </si>
  <si>
    <r>
      <t xml:space="preserve">Прочие долгосрочные обязательства </t>
    </r>
    <r>
      <rPr>
        <vertAlign val="superscript"/>
        <sz val="9"/>
        <rFont val="Arial"/>
        <family val="2"/>
      </rPr>
      <t>4, 5</t>
    </r>
  </si>
  <si>
    <r>
      <t>Прочие краткосрочные обязательства</t>
    </r>
    <r>
      <rPr>
        <vertAlign val="superscript"/>
        <sz val="9"/>
        <rFont val="Arial"/>
        <family val="2"/>
      </rPr>
      <t xml:space="preserve"> 5</t>
    </r>
  </si>
  <si>
    <t>Коэффициент соотношения чистых активов и уставного капитала</t>
  </si>
  <si>
    <t>Показатели рентабельности</t>
  </si>
  <si>
    <t>5.1.</t>
  </si>
  <si>
    <t>5.2.</t>
  </si>
  <si>
    <t>5.3.</t>
  </si>
  <si>
    <t>5.4.</t>
  </si>
  <si>
    <t>Коэффициент рентабельности использования всего капитала</t>
  </si>
  <si>
    <t>Коэффициент использования собственных средств</t>
  </si>
  <si>
    <t>Коэффициент рентабельности продаж</t>
  </si>
  <si>
    <t>Коэффициент рентабельности по текущим затратам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</si>
</sst>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dd/mm/yy;@"/>
    <numFmt numFmtId="166" formatCode="dd/mm/yy"/>
    <numFmt numFmtId="167" formatCode="_(* #,##0.0_);_(* \(#,##0.0\);_(* &quot;-&quot;??_);_(@_)"/>
    <numFmt numFmtId="168" formatCode="0.000"/>
    <numFmt numFmtId="169" formatCode="0.0%"/>
    <numFmt numFmtId="170" formatCode="#,##0.0000"/>
    <numFmt numFmtId="171" formatCode="#,##0.000"/>
    <numFmt numFmtId="172" formatCode="#,##0.000_ ;[Red]\-#,##0.000\ "/>
    <numFmt numFmtId="173" formatCode="0.0"/>
    <numFmt numFmtId="174" formatCode="[$-FC19]d\ mmmm\ yyyy\ &quot;г.&quot;"/>
    <numFmt numFmtId="175" formatCode="0_ ;[Red]\-0\ "/>
    <numFmt numFmtId="176" formatCode="0.0_ ;[Red]\-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[Red]\-#,##0.00\ "/>
    <numFmt numFmtId="182" formatCode="#,##0.0_ ;[Red]\-#,##0.0\ "/>
    <numFmt numFmtId="183" formatCode="#,##0_ ;[Red]\-#,##0\ "/>
    <numFmt numFmtId="184" formatCode="#,##0.0000_ ;[Red]\-#,##0.0000\ "/>
    <numFmt numFmtId="185" formatCode="#,##0.00000_ ;[Red]\-#,##0.00000\ "/>
    <numFmt numFmtId="186" formatCode="mm/yy"/>
    <numFmt numFmtId="187" formatCode="\ь"/>
    <numFmt numFmtId="188" formatCode="General_)"/>
    <numFmt numFmtId="189" formatCode="\"/>
    <numFmt numFmtId="190" formatCode="#,##0.00000"/>
  </numFmts>
  <fonts count="27">
    <font>
      <sz val="10"/>
      <name val="Arial Cyr"/>
      <family val="0"/>
    </font>
    <font>
      <sz val="8"/>
      <name val="Arial Cyr"/>
      <family val="2"/>
    </font>
    <font>
      <sz val="9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9"/>
      <color indexed="12"/>
      <name val="Arial Cyr"/>
      <family val="0"/>
    </font>
    <font>
      <b/>
      <sz val="10"/>
      <name val="Arial Cyr"/>
      <family val="0"/>
    </font>
    <font>
      <u val="single"/>
      <sz val="12"/>
      <color indexed="12"/>
      <name val="Times New Roman"/>
      <family val="1"/>
    </font>
    <font>
      <u val="single"/>
      <sz val="10"/>
      <color indexed="36"/>
      <name val="Arial Cyr"/>
      <family val="0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name val="Arial Cyr"/>
      <family val="0"/>
    </font>
    <font>
      <sz val="10"/>
      <name val="Times New Roman"/>
      <family val="0"/>
    </font>
    <font>
      <sz val="8"/>
      <color indexed="8"/>
      <name val="Arial Cyr"/>
      <family val="0"/>
    </font>
    <font>
      <i/>
      <sz val="9"/>
      <name val="Arial"/>
      <family val="2"/>
    </font>
    <font>
      <i/>
      <sz val="8"/>
      <color indexed="8"/>
      <name val="Arial Cyr"/>
      <family val="0"/>
    </font>
    <font>
      <i/>
      <sz val="9"/>
      <name val="Arial Cyr"/>
      <family val="0"/>
    </font>
    <font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vertAlign val="superscript"/>
      <sz val="9"/>
      <name val="Arial"/>
      <family val="2"/>
    </font>
    <font>
      <sz val="9"/>
      <color indexed="12"/>
      <name val="Arial"/>
      <family val="2"/>
    </font>
    <font>
      <i/>
      <sz val="9"/>
      <color indexed="8"/>
      <name val="Times New Roman"/>
      <family val="1"/>
    </font>
    <font>
      <i/>
      <sz val="8"/>
      <name val="Arial Cyr"/>
      <family val="0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vertical="center" wrapText="1"/>
      <protection locked="0"/>
    </xf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1" fontId="3" fillId="0" borderId="4" xfId="0" applyNumberFormat="1" applyFont="1" applyFill="1" applyBorder="1" applyAlignment="1" applyProtection="1">
      <alignment vertical="center" wrapText="1"/>
      <protection locked="0"/>
    </xf>
    <xf numFmtId="41" fontId="3" fillId="0" borderId="5" xfId="0" applyNumberFormat="1" applyFont="1" applyFill="1" applyBorder="1" applyAlignment="1" applyProtection="1">
      <alignment vertical="center" wrapText="1"/>
      <protection locked="0"/>
    </xf>
    <xf numFmtId="49" fontId="2" fillId="0" borderId="6" xfId="0" applyNumberFormat="1" applyFont="1" applyFill="1" applyBorder="1" applyAlignment="1" applyProtection="1">
      <alignment vertical="center" wrapText="1"/>
      <protection locked="0"/>
    </xf>
    <xf numFmtId="4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41" fontId="2" fillId="0" borderId="7" xfId="0" applyNumberFormat="1" applyFont="1" applyFill="1" applyBorder="1" applyAlignment="1" applyProtection="1">
      <alignment vertical="center" wrapText="1"/>
      <protection locked="0"/>
    </xf>
    <xf numFmtId="41" fontId="2" fillId="0" borderId="8" xfId="0" applyNumberFormat="1" applyFont="1" applyFill="1" applyBorder="1" applyAlignment="1" applyProtection="1">
      <alignment vertical="center" wrapText="1"/>
      <protection locked="0"/>
    </xf>
    <xf numFmtId="49" fontId="2" fillId="0" borderId="9" xfId="0" applyNumberFormat="1" applyFont="1" applyFill="1" applyBorder="1" applyAlignment="1" applyProtection="1">
      <alignment vertical="center" wrapText="1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1" fontId="2" fillId="0" borderId="10" xfId="0" applyNumberFormat="1" applyFont="1" applyFill="1" applyBorder="1" applyAlignment="1" applyProtection="1">
      <alignment vertical="center" wrapText="1"/>
      <protection locked="0"/>
    </xf>
    <xf numFmtId="41" fontId="2" fillId="0" borderId="11" xfId="0" applyNumberFormat="1" applyFont="1" applyFill="1" applyBorder="1" applyAlignment="1" applyProtection="1">
      <alignment vertical="center" wrapText="1"/>
      <protection locked="0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1" fontId="3" fillId="0" borderId="1" xfId="0" applyNumberFormat="1" applyFont="1" applyFill="1" applyBorder="1" applyAlignment="1" applyProtection="1">
      <alignment vertical="center" wrapText="1"/>
      <protection locked="0"/>
    </xf>
    <xf numFmtId="49" fontId="3" fillId="0" borderId="12" xfId="0" applyNumberFormat="1" applyFont="1" applyFill="1" applyBorder="1" applyAlignment="1" applyProtection="1">
      <alignment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1" fontId="5" fillId="0" borderId="7" xfId="0" applyNumberFormat="1" applyFont="1" applyFill="1" applyBorder="1" applyAlignment="1" applyProtection="1">
      <alignment vertical="center" wrapText="1"/>
      <protection locked="0"/>
    </xf>
    <xf numFmtId="41" fontId="5" fillId="0" borderId="8" xfId="0" applyNumberFormat="1" applyFont="1" applyFill="1" applyBorder="1" applyAlignment="1" applyProtection="1">
      <alignment vertical="center" wrapText="1"/>
      <protection locked="0"/>
    </xf>
    <xf numFmtId="41" fontId="3" fillId="0" borderId="1" xfId="0" applyNumberFormat="1" applyFont="1" applyFill="1" applyBorder="1" applyAlignment="1" applyProtection="1">
      <alignment horizontal="right"/>
      <protection locked="0"/>
    </xf>
    <xf numFmtId="41" fontId="3" fillId="0" borderId="8" xfId="0" applyNumberFormat="1" applyFont="1" applyFill="1" applyBorder="1" applyAlignment="1" applyProtection="1">
      <alignment horizontal="right"/>
      <protection locked="0"/>
    </xf>
    <xf numFmtId="41" fontId="3" fillId="0" borderId="7" xfId="0" applyNumberFormat="1" applyFont="1" applyFill="1" applyBorder="1" applyAlignment="1" applyProtection="1">
      <alignment horizontal="right"/>
      <protection locked="0"/>
    </xf>
    <xf numFmtId="49" fontId="2" fillId="0" borderId="3" xfId="0" applyNumberFormat="1" applyFont="1" applyFill="1" applyBorder="1" applyAlignment="1" applyProtection="1">
      <alignment horizontal="center"/>
      <protection locked="0"/>
    </xf>
    <xf numFmtId="49" fontId="2" fillId="0" borderId="6" xfId="0" applyNumberFormat="1" applyFont="1" applyFill="1" applyBorder="1" applyAlignment="1" applyProtection="1">
      <alignment horizontal="center"/>
      <protection locked="0"/>
    </xf>
    <xf numFmtId="49" fontId="3" fillId="0" borderId="13" xfId="0" applyNumberFormat="1" applyFont="1" applyFill="1" applyBorder="1" applyAlignment="1" applyProtection="1">
      <alignment wrapText="1"/>
      <protection locked="0"/>
    </xf>
    <xf numFmtId="49" fontId="2" fillId="0" borderId="2" xfId="0" applyNumberFormat="1" applyFont="1" applyFill="1" applyBorder="1" applyAlignment="1" applyProtection="1">
      <alignment wrapText="1"/>
      <protection locked="0"/>
    </xf>
    <xf numFmtId="49" fontId="2" fillId="0" borderId="14" xfId="0" applyNumberFormat="1" applyFont="1" applyFill="1" applyBorder="1" applyAlignment="1" applyProtection="1">
      <alignment wrapText="1"/>
      <protection locked="0"/>
    </xf>
    <xf numFmtId="49" fontId="2" fillId="0" borderId="9" xfId="0" applyNumberFormat="1" applyFont="1" applyFill="1" applyBorder="1" applyAlignment="1" applyProtection="1">
      <alignment horizontal="center"/>
      <protection locked="0"/>
    </xf>
    <xf numFmtId="49" fontId="3" fillId="0" borderId="15" xfId="0" applyNumberFormat="1" applyFont="1" applyFill="1" applyBorder="1" applyAlignment="1" applyProtection="1">
      <alignment wrapText="1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41" fontId="3" fillId="0" borderId="4" xfId="0" applyNumberFormat="1" applyFont="1" applyFill="1" applyBorder="1" applyAlignment="1" applyProtection="1">
      <alignment horizontal="right"/>
      <protection locked="0"/>
    </xf>
    <xf numFmtId="41" fontId="3" fillId="0" borderId="5" xfId="0" applyNumberFormat="1" applyFont="1" applyFill="1" applyBorder="1" applyAlignment="1" applyProtection="1">
      <alignment horizontal="right"/>
      <protection locked="0"/>
    </xf>
    <xf numFmtId="49" fontId="3" fillId="0" borderId="1" xfId="0" applyNumberFormat="1" applyFont="1" applyFill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1" fontId="3" fillId="0" borderId="10" xfId="0" applyNumberFormat="1" applyFont="1" applyFill="1" applyBorder="1" applyAlignment="1" applyProtection="1">
      <alignment horizontal="right"/>
      <protection locked="0"/>
    </xf>
    <xf numFmtId="41" fontId="3" fillId="0" borderId="11" xfId="0" applyNumberFormat="1" applyFont="1" applyFill="1" applyBorder="1" applyAlignment="1" applyProtection="1">
      <alignment horizontal="right"/>
      <protection locked="0"/>
    </xf>
    <xf numFmtId="43" fontId="3" fillId="0" borderId="16" xfId="0" applyNumberFormat="1" applyFont="1" applyFill="1" applyBorder="1" applyAlignment="1" applyProtection="1">
      <alignment horizontal="center"/>
      <protection locked="0"/>
    </xf>
    <xf numFmtId="43" fontId="3" fillId="0" borderId="17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9" fillId="0" borderId="0" xfId="15" applyFont="1" applyFill="1" applyBorder="1" applyAlignment="1">
      <alignment vertical="center"/>
    </xf>
    <xf numFmtId="49" fontId="1" fillId="2" borderId="3" xfId="0" applyNumberFormat="1" applyFont="1" applyFill="1" applyBorder="1" applyAlignment="1" applyProtection="1">
      <alignment horizontal="center"/>
      <protection locked="0"/>
    </xf>
    <xf numFmtId="49" fontId="1" fillId="2" borderId="6" xfId="0" applyNumberFormat="1" applyFont="1" applyFill="1" applyBorder="1" applyAlignment="1" applyProtection="1">
      <alignment horizontal="center"/>
      <protection locked="0"/>
    </xf>
    <xf numFmtId="49" fontId="1" fillId="2" borderId="18" xfId="0" applyNumberFormat="1" applyFont="1" applyFill="1" applyBorder="1" applyAlignment="1" applyProtection="1">
      <alignment horizontal="center"/>
      <protection locked="0"/>
    </xf>
    <xf numFmtId="49" fontId="1" fillId="2" borderId="9" xfId="0" applyNumberFormat="1" applyFont="1" applyFill="1" applyBorder="1" applyAlignment="1" applyProtection="1">
      <alignment horizontal="center"/>
      <protection locked="0"/>
    </xf>
    <xf numFmtId="49" fontId="1" fillId="2" borderId="12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49" fontId="3" fillId="2" borderId="15" xfId="0" applyNumberFormat="1" applyFont="1" applyFill="1" applyBorder="1" applyAlignment="1" applyProtection="1">
      <alignment vertical="center" wrapText="1"/>
      <protection locked="0"/>
    </xf>
    <xf numFmtId="49" fontId="2" fillId="2" borderId="2" xfId="0" applyNumberFormat="1" applyFont="1" applyFill="1" applyBorder="1" applyAlignment="1" applyProtection="1">
      <alignment vertical="center" wrapText="1"/>
      <protection locked="0"/>
    </xf>
    <xf numFmtId="49" fontId="2" fillId="2" borderId="14" xfId="0" applyNumberFormat="1" applyFont="1" applyFill="1" applyBorder="1" applyAlignment="1" applyProtection="1">
      <alignment vertical="center" wrapText="1"/>
      <protection locked="0"/>
    </xf>
    <xf numFmtId="49" fontId="2" fillId="2" borderId="1" xfId="0" applyNumberFormat="1" applyFont="1" applyFill="1" applyBorder="1" applyAlignment="1" applyProtection="1">
      <alignment vertical="center" wrapText="1"/>
      <protection locked="0"/>
    </xf>
    <xf numFmtId="49" fontId="2" fillId="2" borderId="15" xfId="0" applyNumberFormat="1" applyFont="1" applyFill="1" applyBorder="1" applyAlignment="1" applyProtection="1">
      <alignment vertical="center" wrapText="1"/>
      <protection locked="0"/>
    </xf>
    <xf numFmtId="49" fontId="3" fillId="2" borderId="14" xfId="0" applyNumberFormat="1" applyFont="1" applyFill="1" applyBorder="1" applyAlignment="1" applyProtection="1">
      <alignment vertical="center" wrapText="1"/>
      <protection locked="0"/>
    </xf>
    <xf numFmtId="49" fontId="2" fillId="2" borderId="19" xfId="0" applyNumberFormat="1" applyFont="1" applyFill="1" applyBorder="1" applyAlignment="1" applyProtection="1">
      <alignment vertical="center" wrapText="1"/>
      <protection locked="0"/>
    </xf>
    <xf numFmtId="41" fontId="3" fillId="2" borderId="20" xfId="0" applyNumberFormat="1" applyFont="1" applyFill="1" applyBorder="1" applyAlignment="1" applyProtection="1">
      <alignment horizontal="center" vertical="center"/>
      <protection locked="0"/>
    </xf>
    <xf numFmtId="41" fontId="3" fillId="2" borderId="21" xfId="0" applyNumberFormat="1" applyFont="1" applyFill="1" applyBorder="1" applyAlignment="1" applyProtection="1">
      <alignment horizontal="center" vertical="center"/>
      <protection locked="0"/>
    </xf>
    <xf numFmtId="41" fontId="3" fillId="2" borderId="1" xfId="0" applyNumberFormat="1" applyFont="1" applyFill="1" applyBorder="1" applyAlignment="1" applyProtection="1">
      <alignment horizontal="center" vertical="center"/>
      <protection locked="0"/>
    </xf>
    <xf numFmtId="41" fontId="3" fillId="2" borderId="22" xfId="0" applyNumberFormat="1" applyFont="1" applyFill="1" applyBorder="1" applyAlignment="1" applyProtection="1">
      <alignment horizontal="center" vertical="center"/>
      <protection locked="0"/>
    </xf>
    <xf numFmtId="41" fontId="3" fillId="2" borderId="23" xfId="0" applyNumberFormat="1" applyFont="1" applyFill="1" applyBorder="1" applyAlignment="1" applyProtection="1">
      <alignment horizontal="center" vertical="center"/>
      <protection locked="0"/>
    </xf>
    <xf numFmtId="41" fontId="2" fillId="2" borderId="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181" fontId="2" fillId="4" borderId="28" xfId="0" applyNumberFormat="1" applyFont="1" applyFill="1" applyBorder="1" applyAlignment="1">
      <alignment horizontal="center" vertical="center"/>
    </xf>
    <xf numFmtId="181" fontId="2" fillId="4" borderId="30" xfId="0" applyNumberFormat="1" applyFont="1" applyFill="1" applyBorder="1" applyAlignment="1">
      <alignment horizontal="center" vertical="center"/>
    </xf>
    <xf numFmtId="181" fontId="2" fillId="4" borderId="32" xfId="0" applyNumberFormat="1" applyFont="1" applyFill="1" applyBorder="1" applyAlignment="1">
      <alignment horizontal="center" vertical="center"/>
    </xf>
    <xf numFmtId="181" fontId="2" fillId="4" borderId="16" xfId="0" applyNumberFormat="1" applyFont="1" applyFill="1" applyBorder="1" applyAlignment="1">
      <alignment horizontal="center" vertical="center"/>
    </xf>
    <xf numFmtId="181" fontId="2" fillId="4" borderId="7" xfId="0" applyNumberFormat="1" applyFont="1" applyFill="1" applyBorder="1" applyAlignment="1">
      <alignment horizontal="center" vertical="center"/>
    </xf>
    <xf numFmtId="181" fontId="2" fillId="4" borderId="35" xfId="0" applyNumberFormat="1" applyFont="1" applyFill="1" applyBorder="1" applyAlignment="1">
      <alignment horizontal="center" vertical="center"/>
    </xf>
    <xf numFmtId="182" fontId="2" fillId="5" borderId="17" xfId="0" applyNumberFormat="1" applyFont="1" applyFill="1" applyBorder="1" applyAlignment="1">
      <alignment horizontal="center" vertical="center"/>
    </xf>
    <xf numFmtId="182" fontId="2" fillId="5" borderId="8" xfId="0" applyNumberFormat="1" applyFont="1" applyFill="1" applyBorder="1" applyAlignment="1">
      <alignment horizontal="center" vertical="center"/>
    </xf>
    <xf numFmtId="182" fontId="2" fillId="5" borderId="3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82" fontId="3" fillId="0" borderId="1" xfId="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81" fontId="4" fillId="5" borderId="30" xfId="0" applyNumberFormat="1" applyFont="1" applyFill="1" applyBorder="1" applyAlignment="1">
      <alignment horizontal="center" vertical="center"/>
    </xf>
    <xf numFmtId="181" fontId="4" fillId="5" borderId="8" xfId="0" applyNumberFormat="1" applyFont="1" applyFill="1" applyBorder="1" applyAlignment="1">
      <alignment horizontal="center" vertical="center"/>
    </xf>
    <xf numFmtId="181" fontId="4" fillId="4" borderId="28" xfId="0" applyNumberFormat="1" applyFont="1" applyFill="1" applyBorder="1" applyAlignment="1">
      <alignment horizontal="center" vertical="center"/>
    </xf>
    <xf numFmtId="181" fontId="4" fillId="4" borderId="17" xfId="0" applyNumberFormat="1" applyFont="1" applyFill="1" applyBorder="1" applyAlignment="1">
      <alignment horizontal="center" vertical="center"/>
    </xf>
    <xf numFmtId="181" fontId="4" fillId="4" borderId="30" xfId="0" applyNumberFormat="1" applyFont="1" applyFill="1" applyBorder="1" applyAlignment="1">
      <alignment horizontal="center" vertical="center"/>
    </xf>
    <xf numFmtId="181" fontId="4" fillId="4" borderId="8" xfId="0" applyNumberFormat="1" applyFont="1" applyFill="1" applyBorder="1" applyAlignment="1">
      <alignment horizontal="center" vertical="center"/>
    </xf>
    <xf numFmtId="181" fontId="4" fillId="4" borderId="32" xfId="0" applyNumberFormat="1" applyFont="1" applyFill="1" applyBorder="1" applyAlignment="1">
      <alignment horizontal="center" vertical="center"/>
    </xf>
    <xf numFmtId="181" fontId="4" fillId="4" borderId="3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9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81" fontId="3" fillId="0" borderId="1" xfId="0" applyNumberFormat="1" applyFont="1" applyBorder="1" applyAlignment="1">
      <alignment horizontal="center" vertical="center"/>
    </xf>
    <xf numFmtId="181" fontId="2" fillId="4" borderId="36" xfId="0" applyNumberFormat="1" applyFont="1" applyFill="1" applyBorder="1" applyAlignment="1">
      <alignment horizontal="center" vertical="center"/>
    </xf>
    <xf numFmtId="181" fontId="2" fillId="4" borderId="10" xfId="0" applyNumberFormat="1" applyFont="1" applyFill="1" applyBorder="1" applyAlignment="1">
      <alignment horizontal="center" vertical="center"/>
    </xf>
    <xf numFmtId="182" fontId="2" fillId="5" borderId="11" xfId="0" applyNumberFormat="1" applyFont="1" applyFill="1" applyBorder="1" applyAlignment="1">
      <alignment horizontal="center" vertical="center"/>
    </xf>
    <xf numFmtId="182" fontId="3" fillId="0" borderId="1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181" fontId="3" fillId="6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0" fillId="6" borderId="37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37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81" fontId="4" fillId="0" borderId="5" xfId="0" applyNumberFormat="1" applyFont="1" applyFill="1" applyBorder="1" applyAlignment="1">
      <alignment horizontal="center" vertical="center"/>
    </xf>
    <xf numFmtId="181" fontId="4" fillId="0" borderId="8" xfId="0" applyNumberFormat="1" applyFont="1" applyFill="1" applyBorder="1" applyAlignment="1">
      <alignment horizontal="center" vertical="center"/>
    </xf>
    <xf numFmtId="0" fontId="10" fillId="6" borderId="37" xfId="0" applyFont="1" applyFill="1" applyBorder="1" applyAlignment="1">
      <alignment vertical="center" wrapText="1"/>
    </xf>
    <xf numFmtId="181" fontId="4" fillId="0" borderId="22" xfId="0" applyNumberFormat="1" applyFont="1" applyFill="1" applyBorder="1" applyAlignment="1">
      <alignment horizontal="center" vertical="center"/>
    </xf>
    <xf numFmtId="181" fontId="4" fillId="0" borderId="30" xfId="0" applyNumberFormat="1" applyFont="1" applyFill="1" applyBorder="1" applyAlignment="1">
      <alignment horizontal="center" vertical="center"/>
    </xf>
    <xf numFmtId="0" fontId="10" fillId="6" borderId="38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181" fontId="4" fillId="0" borderId="28" xfId="0" applyNumberFormat="1" applyFont="1" applyFill="1" applyBorder="1" applyAlignment="1">
      <alignment horizontal="center" vertical="center"/>
    </xf>
    <xf numFmtId="181" fontId="4" fillId="0" borderId="17" xfId="0" applyNumberFormat="1" applyFont="1" applyFill="1" applyBorder="1" applyAlignment="1">
      <alignment horizontal="center" vertical="center"/>
    </xf>
    <xf numFmtId="181" fontId="4" fillId="0" borderId="39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right" vertical="center" wrapText="1"/>
    </xf>
    <xf numFmtId="181" fontId="17" fillId="0" borderId="23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181" fontId="17" fillId="0" borderId="22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182" fontId="17" fillId="0" borderId="30" xfId="0" applyNumberFormat="1" applyFont="1" applyFill="1" applyBorder="1" applyAlignment="1">
      <alignment horizontal="center" vertical="center"/>
    </xf>
    <xf numFmtId="182" fontId="17" fillId="0" borderId="8" xfId="0" applyNumberFormat="1" applyFont="1" applyFill="1" applyBorder="1" applyAlignment="1">
      <alignment horizontal="center" vertical="center"/>
    </xf>
    <xf numFmtId="182" fontId="17" fillId="0" borderId="32" xfId="0" applyNumberFormat="1" applyFont="1" applyFill="1" applyBorder="1" applyAlignment="1">
      <alignment horizontal="center" vertical="center"/>
    </xf>
    <xf numFmtId="182" fontId="17" fillId="0" borderId="34" xfId="0" applyNumberFormat="1" applyFont="1" applyFill="1" applyBorder="1" applyAlignment="1">
      <alignment horizontal="center" vertical="center"/>
    </xf>
    <xf numFmtId="182" fontId="10" fillId="6" borderId="40" xfId="0" applyNumberFormat="1" applyFont="1" applyFill="1" applyBorder="1" applyAlignment="1">
      <alignment horizontal="center" vertical="center"/>
    </xf>
    <xf numFmtId="182" fontId="10" fillId="6" borderId="41" xfId="0" applyNumberFormat="1" applyFont="1" applyFill="1" applyBorder="1" applyAlignment="1">
      <alignment horizontal="center" vertical="center"/>
    </xf>
    <xf numFmtId="182" fontId="10" fillId="6" borderId="38" xfId="0" applyNumberFormat="1" applyFont="1" applyFill="1" applyBorder="1" applyAlignment="1">
      <alignment horizontal="center" vertical="center"/>
    </xf>
    <xf numFmtId="181" fontId="4" fillId="0" borderId="32" xfId="0" applyNumberFormat="1" applyFont="1" applyFill="1" applyBorder="1" applyAlignment="1">
      <alignment horizontal="center" vertical="center" wrapText="1"/>
    </xf>
    <xf numFmtId="181" fontId="4" fillId="0" borderId="34" xfId="0" applyNumberFormat="1" applyFont="1" applyFill="1" applyBorder="1" applyAlignment="1">
      <alignment horizontal="center" vertical="center" wrapText="1"/>
    </xf>
    <xf numFmtId="0" fontId="10" fillId="0" borderId="0" xfId="18" applyFont="1" applyBorder="1" applyAlignment="1">
      <alignment/>
      <protection/>
    </xf>
    <xf numFmtId="0" fontId="4" fillId="0" borderId="0" xfId="18" applyFont="1" applyBorder="1">
      <alignment/>
      <protection/>
    </xf>
    <xf numFmtId="0" fontId="4" fillId="0" borderId="1" xfId="18" applyFont="1" applyBorder="1" applyAlignment="1">
      <alignment horizontal="center" vertical="center" wrapText="1"/>
      <protection/>
    </xf>
    <xf numFmtId="0" fontId="4" fillId="0" borderId="0" xfId="18" applyFont="1" applyBorder="1" applyAlignment="1">
      <alignment horizontal="center" vertical="center" wrapText="1"/>
      <protection/>
    </xf>
    <xf numFmtId="0" fontId="10" fillId="0" borderId="1" xfId="18" applyFont="1" applyBorder="1" applyAlignment="1">
      <alignment horizontal="center" vertical="top" wrapText="1"/>
      <protection/>
    </xf>
    <xf numFmtId="0" fontId="10" fillId="0" borderId="38" xfId="18" applyFont="1" applyBorder="1" applyAlignment="1">
      <alignment vertical="top" wrapText="1"/>
      <protection/>
    </xf>
    <xf numFmtId="0" fontId="4" fillId="0" borderId="1" xfId="18" applyFont="1" applyBorder="1" applyAlignment="1">
      <alignment horizontal="center" vertical="top"/>
      <protection/>
    </xf>
    <xf numFmtId="183" fontId="4" fillId="0" borderId="42" xfId="18" applyNumberFormat="1" applyFont="1" applyBorder="1" applyAlignment="1">
      <alignment vertical="top"/>
      <protection/>
    </xf>
    <xf numFmtId="183" fontId="4" fillId="0" borderId="41" xfId="18" applyNumberFormat="1" applyFont="1" applyBorder="1" applyAlignment="1">
      <alignment vertical="top"/>
      <protection/>
    </xf>
    <xf numFmtId="0" fontId="4" fillId="0" borderId="12" xfId="18" applyFont="1" applyBorder="1" applyAlignment="1">
      <alignment horizontal="center" vertical="top" wrapText="1"/>
      <protection/>
    </xf>
    <xf numFmtId="0" fontId="4" fillId="0" borderId="43" xfId="18" applyFont="1" applyBorder="1" applyAlignment="1">
      <alignment vertical="top" wrapText="1"/>
      <protection/>
    </xf>
    <xf numFmtId="0" fontId="4" fillId="0" borderId="12" xfId="18" applyFont="1" applyBorder="1" applyAlignment="1">
      <alignment horizontal="center" vertical="top"/>
      <protection/>
    </xf>
    <xf numFmtId="183" fontId="4" fillId="0" borderId="4" xfId="18" applyNumberFormat="1" applyFont="1" applyBorder="1" applyAlignment="1">
      <alignment vertical="top"/>
      <protection/>
    </xf>
    <xf numFmtId="183" fontId="4" fillId="0" borderId="5" xfId="18" applyNumberFormat="1" applyFont="1" applyBorder="1" applyAlignment="1">
      <alignment vertical="top"/>
      <protection/>
    </xf>
    <xf numFmtId="0" fontId="4" fillId="0" borderId="6" xfId="18" applyFont="1" applyBorder="1" applyAlignment="1">
      <alignment horizontal="center" vertical="top" wrapText="1"/>
      <protection/>
    </xf>
    <xf numFmtId="0" fontId="4" fillId="0" borderId="26" xfId="18" applyFont="1" applyBorder="1" applyAlignment="1">
      <alignment vertical="top" wrapText="1"/>
      <protection/>
    </xf>
    <xf numFmtId="0" fontId="4" fillId="0" borderId="6" xfId="18" applyFont="1" applyBorder="1" applyAlignment="1">
      <alignment horizontal="center" vertical="top"/>
      <protection/>
    </xf>
    <xf numFmtId="183" fontId="4" fillId="0" borderId="7" xfId="18" applyNumberFormat="1" applyFont="1" applyBorder="1" applyAlignment="1">
      <alignment vertical="top"/>
      <protection/>
    </xf>
    <xf numFmtId="183" fontId="4" fillId="0" borderId="8" xfId="18" applyNumberFormat="1" applyFont="1" applyBorder="1" applyAlignment="1">
      <alignment vertical="top"/>
      <protection/>
    </xf>
    <xf numFmtId="0" fontId="4" fillId="0" borderId="0" xfId="18" applyFont="1" applyBorder="1" applyAlignment="1">
      <alignment/>
      <protection/>
    </xf>
    <xf numFmtId="183" fontId="4" fillId="0" borderId="0" xfId="18" applyNumberFormat="1" applyFont="1" applyBorder="1">
      <alignment/>
      <protection/>
    </xf>
    <xf numFmtId="0" fontId="4" fillId="0" borderId="9" xfId="18" applyFont="1" applyBorder="1" applyAlignment="1">
      <alignment horizontal="center" vertical="top" wrapText="1"/>
      <protection/>
    </xf>
    <xf numFmtId="0" fontId="4" fillId="0" borderId="44" xfId="18" applyFont="1" applyBorder="1" applyAlignment="1">
      <alignment vertical="top" wrapText="1"/>
      <protection/>
    </xf>
    <xf numFmtId="0" fontId="4" fillId="0" borderId="9" xfId="18" applyFont="1" applyBorder="1" applyAlignment="1">
      <alignment horizontal="center" vertical="top"/>
      <protection/>
    </xf>
    <xf numFmtId="183" fontId="4" fillId="0" borderId="10" xfId="18" applyNumberFormat="1" applyFont="1" applyBorder="1" applyAlignment="1">
      <alignment vertical="top"/>
      <protection/>
    </xf>
    <xf numFmtId="183" fontId="4" fillId="0" borderId="11" xfId="18" applyNumberFormat="1" applyFont="1" applyBorder="1" applyAlignment="1">
      <alignment vertical="top"/>
      <protection/>
    </xf>
    <xf numFmtId="0" fontId="4" fillId="0" borderId="1" xfId="18" applyFont="1" applyBorder="1" applyAlignment="1">
      <alignment horizontal="center" vertical="top" wrapText="1"/>
      <protection/>
    </xf>
    <xf numFmtId="0" fontId="4" fillId="0" borderId="1" xfId="18" applyFont="1" applyBorder="1" applyAlignment="1">
      <alignment vertical="top" wrapText="1"/>
      <protection/>
    </xf>
    <xf numFmtId="183" fontId="23" fillId="0" borderId="1" xfId="18" applyNumberFormat="1" applyFont="1" applyBorder="1" applyAlignment="1">
      <alignment vertical="top"/>
      <protection/>
    </xf>
    <xf numFmtId="0" fontId="10" fillId="0" borderId="1" xfId="18" applyFont="1" applyBorder="1" applyAlignment="1">
      <alignment horizontal="center" vertical="top"/>
      <protection/>
    </xf>
    <xf numFmtId="183" fontId="10" fillId="0" borderId="42" xfId="18" applyNumberFormat="1" applyFont="1" applyBorder="1" applyAlignment="1">
      <alignment vertical="top"/>
      <protection/>
    </xf>
    <xf numFmtId="183" fontId="10" fillId="0" borderId="41" xfId="18" applyNumberFormat="1" applyFont="1" applyBorder="1" applyAlignment="1">
      <alignment vertical="top"/>
      <protection/>
    </xf>
    <xf numFmtId="0" fontId="4" fillId="0" borderId="0" xfId="18" applyFont="1" applyBorder="1" applyAlignment="1">
      <alignment vertical="top"/>
      <protection/>
    </xf>
    <xf numFmtId="49" fontId="22" fillId="0" borderId="0" xfId="18" applyNumberFormat="1" applyFont="1" applyBorder="1" applyAlignment="1">
      <alignment horizontal="right" vertical="top"/>
      <protection/>
    </xf>
    <xf numFmtId="0" fontId="11" fillId="0" borderId="0" xfId="18" applyFont="1" applyAlignment="1">
      <alignment vertical="top"/>
      <protection/>
    </xf>
    <xf numFmtId="0" fontId="4" fillId="0" borderId="0" xfId="18" applyFont="1" applyBorder="1" applyAlignment="1">
      <alignment horizontal="justify" vertical="top" wrapText="1"/>
      <protection/>
    </xf>
    <xf numFmtId="0" fontId="11" fillId="0" borderId="0" xfId="18" applyFont="1">
      <alignment/>
      <protection/>
    </xf>
    <xf numFmtId="0" fontId="19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horizontal="right" vertical="center" wrapText="1"/>
    </xf>
    <xf numFmtId="182" fontId="17" fillId="0" borderId="36" xfId="0" applyNumberFormat="1" applyFont="1" applyFill="1" applyBorder="1" applyAlignment="1">
      <alignment horizontal="center" vertical="center" wrapText="1"/>
    </xf>
    <xf numFmtId="182" fontId="17" fillId="0" borderId="11" xfId="0" applyNumberFormat="1" applyFont="1" applyFill="1" applyBorder="1" applyAlignment="1">
      <alignment horizontal="center" vertical="center" wrapText="1"/>
    </xf>
    <xf numFmtId="181" fontId="17" fillId="0" borderId="21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 wrapText="1"/>
    </xf>
    <xf numFmtId="182" fontId="17" fillId="0" borderId="30" xfId="0" applyNumberFormat="1" applyFont="1" applyFill="1" applyBorder="1" applyAlignment="1">
      <alignment horizontal="center" vertical="center" wrapText="1"/>
    </xf>
    <xf numFmtId="182" fontId="17" fillId="0" borderId="8" xfId="0" applyNumberFormat="1" applyFont="1" applyFill="1" applyBorder="1" applyAlignment="1">
      <alignment horizontal="center" vertical="center" wrapText="1"/>
    </xf>
    <xf numFmtId="181" fontId="4" fillId="0" borderId="6" xfId="0" applyNumberFormat="1" applyFont="1" applyFill="1" applyBorder="1" applyAlignment="1">
      <alignment horizontal="center" vertical="center"/>
    </xf>
    <xf numFmtId="181" fontId="17" fillId="0" borderId="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vertical="center" wrapText="1"/>
    </xf>
    <xf numFmtId="181" fontId="4" fillId="0" borderId="45" xfId="0" applyNumberFormat="1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 horizontal="center" vertical="center"/>
    </xf>
    <xf numFmtId="182" fontId="10" fillId="6" borderId="1" xfId="0" applyNumberFormat="1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right" vertical="center" wrapText="1"/>
    </xf>
    <xf numFmtId="181" fontId="17" fillId="0" borderId="18" xfId="0" applyNumberFormat="1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 wrapText="1"/>
    </xf>
    <xf numFmtId="0" fontId="1" fillId="6" borderId="46" xfId="0" applyFont="1" applyFill="1" applyBorder="1" applyAlignment="1">
      <alignment horizontal="center" vertical="center" wrapText="1"/>
    </xf>
    <xf numFmtId="0" fontId="1" fillId="6" borderId="41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2" fillId="6" borderId="46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181" fontId="4" fillId="0" borderId="28" xfId="0" applyNumberFormat="1" applyFont="1" applyFill="1" applyBorder="1" applyAlignment="1">
      <alignment horizontal="center" vertical="center" wrapText="1"/>
    </xf>
    <xf numFmtId="181" fontId="4" fillId="0" borderId="17" xfId="0" applyNumberFormat="1" applyFont="1" applyFill="1" applyBorder="1" applyAlignment="1">
      <alignment horizontal="center" vertical="center" wrapText="1"/>
    </xf>
    <xf numFmtId="181" fontId="4" fillId="0" borderId="30" xfId="0" applyNumberFormat="1" applyFont="1" applyFill="1" applyBorder="1" applyAlignment="1">
      <alignment horizontal="center" vertical="center" wrapText="1"/>
    </xf>
    <xf numFmtId="181" fontId="4" fillId="0" borderId="8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LAW_41303-0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pelFin%207.15\ma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&#1042;&#1088;&#1077;&#1084;&#1077;&#1085;&#1085;&#1072;&#1103;%20&#1087;&#1072;&#1087;&#1082;&#1072;%201%20&#1076;&#1083;&#1103;%20malahov.zip\ANALIZ\leco\analiz\sher-balans%20on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b"/>
      <sheetName val="~"/>
      <sheetName val="Эспрессо"/>
      <sheetName val="ликв"/>
      <sheetName val="GAAP"/>
      <sheetName val="EC"/>
      <sheetName val="GAAP, EC"/>
      <sheetName val="Аргенти"/>
      <sheetName val="ЧА"/>
      <sheetName val="118"/>
      <sheetName val="инвест"/>
      <sheetName val="тенденции"/>
      <sheetName val="групп"/>
      <sheetName val="ГТКф1"/>
      <sheetName val="банкрот"/>
      <sheetName val="ГУП"/>
      <sheetName val="ФГУП"/>
      <sheetName val="Комплекс"/>
      <sheetName val="ФСФО"/>
      <sheetName val="Ковалев"/>
      <sheetName val="Рябых"/>
      <sheetName val="Bond"/>
      <sheetName val="ИНТЭС"/>
      <sheetName val="Дюпон"/>
      <sheetName val="ФУ"/>
      <sheetName val="Депалян"/>
      <sheetName val="ГТК"/>
      <sheetName val="Альт"/>
      <sheetName val="Нормаль"/>
      <sheetName val="СПб"/>
      <sheetName val="МИБ"/>
      <sheetName val="СДМ"/>
      <sheetName val="СБ"/>
      <sheetName val="инэк"/>
      <sheetName val="ВТБ"/>
      <sheetName val="Спектр"/>
      <sheetName val="Рейтинг"/>
      <sheetName val="Лимит"/>
      <sheetName val="VM"/>
      <sheetName val="Кокорев"/>
      <sheetName val="Регрессии"/>
      <sheetName val="КГТУ"/>
      <sheetName val="Параметры"/>
      <sheetName val="Методика пользователя"/>
      <sheetName val="Справка"/>
      <sheetName val="rp"/>
      <sheetName val="sys"/>
      <sheetName val="report"/>
    </sheetNames>
    <sheetDataSet>
      <sheetData sheetId="43">
        <row r="7">
          <cell r="D7">
            <v>32</v>
          </cell>
        </row>
        <row r="10">
          <cell r="D10" t="str">
            <v>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БАЛАНС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3">
        <row r="18">
          <cell r="B18">
            <v>382709.7</v>
          </cell>
          <cell r="C18">
            <v>483116</v>
          </cell>
          <cell r="F18">
            <v>100406.29999999999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E95"/>
  <sheetViews>
    <sheetView workbookViewId="0" topLeftCell="A70">
      <selection activeCell="G2" sqref="G2"/>
    </sheetView>
  </sheetViews>
  <sheetFormatPr defaultColWidth="9.00390625" defaultRowHeight="12.75"/>
  <cols>
    <col min="1" max="1" width="1.75390625" style="1" customWidth="1"/>
    <col min="2" max="2" width="45.75390625" style="1" customWidth="1"/>
    <col min="3" max="3" width="9.125" style="1" customWidth="1"/>
    <col min="4" max="5" width="12.75390625" style="1" customWidth="1"/>
    <col min="6" max="16384" width="9.125" style="1" customWidth="1"/>
  </cols>
  <sheetData>
    <row r="2" spans="2:5" ht="33" customHeight="1">
      <c r="B2" s="5"/>
      <c r="C2" s="6" t="s">
        <v>1</v>
      </c>
      <c r="D2" s="6" t="s">
        <v>2</v>
      </c>
      <c r="E2" s="6" t="s">
        <v>3</v>
      </c>
    </row>
    <row r="3" spans="2:5" ht="12.75">
      <c r="B3" s="158" t="s">
        <v>0</v>
      </c>
      <c r="C3" s="158"/>
      <c r="D3" s="158"/>
      <c r="E3" s="158"/>
    </row>
    <row r="4" spans="2:5" ht="12">
      <c r="B4" s="7" t="s">
        <v>4</v>
      </c>
      <c r="C4" s="8"/>
      <c r="D4" s="9"/>
      <c r="E4" s="10"/>
    </row>
    <row r="5" spans="2:5" ht="12">
      <c r="B5" s="11" t="s">
        <v>5</v>
      </c>
      <c r="C5" s="12" t="s">
        <v>6</v>
      </c>
      <c r="D5" s="13">
        <v>981</v>
      </c>
      <c r="E5" s="14">
        <v>1387</v>
      </c>
    </row>
    <row r="6" spans="2:5" ht="12">
      <c r="B6" s="11" t="s">
        <v>7</v>
      </c>
      <c r="C6" s="12" t="s">
        <v>8</v>
      </c>
      <c r="D6" s="13">
        <v>20092</v>
      </c>
      <c r="E6" s="14">
        <v>22040</v>
      </c>
    </row>
    <row r="7" spans="2:5" ht="12">
      <c r="B7" s="11" t="s">
        <v>9</v>
      </c>
      <c r="C7" s="12" t="s">
        <v>10</v>
      </c>
      <c r="D7" s="13">
        <v>0</v>
      </c>
      <c r="E7" s="14">
        <v>0</v>
      </c>
    </row>
    <row r="8" spans="2:5" ht="12">
      <c r="B8" s="11" t="s">
        <v>11</v>
      </c>
      <c r="C8" s="12" t="s">
        <v>12</v>
      </c>
      <c r="D8" s="13">
        <v>0</v>
      </c>
      <c r="E8" s="14">
        <v>0</v>
      </c>
    </row>
    <row r="9" spans="2:5" ht="12">
      <c r="B9" s="11" t="s">
        <v>13</v>
      </c>
      <c r="C9" s="12" t="s">
        <v>14</v>
      </c>
      <c r="D9" s="13">
        <v>20969</v>
      </c>
      <c r="E9" s="14">
        <v>2926</v>
      </c>
    </row>
    <row r="10" spans="2:5" ht="12">
      <c r="B10" s="11" t="s">
        <v>15</v>
      </c>
      <c r="C10" s="12" t="s">
        <v>16</v>
      </c>
      <c r="D10" s="13">
        <v>16284</v>
      </c>
      <c r="E10" s="14">
        <v>0</v>
      </c>
    </row>
    <row r="11" spans="2:5" ht="12">
      <c r="B11" s="15" t="s">
        <v>17</v>
      </c>
      <c r="C11" s="16" t="s">
        <v>18</v>
      </c>
      <c r="D11" s="17">
        <v>0</v>
      </c>
      <c r="E11" s="18">
        <v>0</v>
      </c>
    </row>
    <row r="12" spans="2:5" ht="12">
      <c r="B12" s="19" t="s">
        <v>19</v>
      </c>
      <c r="C12" s="20" t="s">
        <v>20</v>
      </c>
      <c r="D12" s="21">
        <f>SUM(D5:D11)</f>
        <v>58326</v>
      </c>
      <c r="E12" s="21">
        <f>SUM(E5:E11)</f>
        <v>26353</v>
      </c>
    </row>
    <row r="13" spans="2:5" ht="12">
      <c r="B13" s="22" t="s">
        <v>21</v>
      </c>
      <c r="C13" s="23"/>
      <c r="D13" s="9"/>
      <c r="E13" s="10"/>
    </row>
    <row r="14" spans="2:5" ht="12">
      <c r="B14" s="11" t="s">
        <v>22</v>
      </c>
      <c r="C14" s="12" t="s">
        <v>23</v>
      </c>
      <c r="D14" s="24">
        <f>SUM(D16:D22)</f>
        <v>33591</v>
      </c>
      <c r="E14" s="25">
        <f>SUM(E16:E22)</f>
        <v>16630</v>
      </c>
    </row>
    <row r="15" spans="2:5" ht="12">
      <c r="B15" s="11" t="s">
        <v>24</v>
      </c>
      <c r="C15" s="12"/>
      <c r="D15" s="13"/>
      <c r="E15" s="14"/>
    </row>
    <row r="16" spans="2:5" ht="12">
      <c r="B16" s="11" t="s">
        <v>25</v>
      </c>
      <c r="C16" s="12" t="s">
        <v>26</v>
      </c>
      <c r="D16" s="13">
        <v>9223</v>
      </c>
      <c r="E16" s="14">
        <v>4359</v>
      </c>
    </row>
    <row r="17" spans="2:5" ht="12">
      <c r="B17" s="11" t="s">
        <v>27</v>
      </c>
      <c r="C17" s="12" t="s">
        <v>28</v>
      </c>
      <c r="D17" s="13">
        <v>0</v>
      </c>
      <c r="E17" s="14">
        <v>0</v>
      </c>
    </row>
    <row r="18" spans="2:5" ht="12">
      <c r="B18" s="11" t="s">
        <v>29</v>
      </c>
      <c r="C18" s="12" t="s">
        <v>30</v>
      </c>
      <c r="D18" s="13">
        <v>1985</v>
      </c>
      <c r="E18" s="14">
        <v>1978</v>
      </c>
    </row>
    <row r="19" spans="2:5" ht="12">
      <c r="B19" s="11" t="s">
        <v>31</v>
      </c>
      <c r="C19" s="12" t="s">
        <v>32</v>
      </c>
      <c r="D19" s="13">
        <v>21186</v>
      </c>
      <c r="E19" s="14">
        <v>10175</v>
      </c>
    </row>
    <row r="20" spans="2:5" ht="12">
      <c r="B20" s="11" t="s">
        <v>33</v>
      </c>
      <c r="C20" s="12" t="s">
        <v>34</v>
      </c>
      <c r="D20" s="13">
        <v>0</v>
      </c>
      <c r="E20" s="14">
        <v>0</v>
      </c>
    </row>
    <row r="21" spans="2:5" ht="12">
      <c r="B21" s="11" t="s">
        <v>35</v>
      </c>
      <c r="C21" s="12" t="s">
        <v>36</v>
      </c>
      <c r="D21" s="13">
        <v>1197</v>
      </c>
      <c r="E21" s="14">
        <v>118</v>
      </c>
    </row>
    <row r="22" spans="2:5" ht="12">
      <c r="B22" s="11" t="s">
        <v>37</v>
      </c>
      <c r="C22" s="12" t="s">
        <v>38</v>
      </c>
      <c r="D22" s="13">
        <v>0</v>
      </c>
      <c r="E22" s="14">
        <v>0</v>
      </c>
    </row>
    <row r="23" spans="2:5" ht="24">
      <c r="B23" s="11" t="s">
        <v>39</v>
      </c>
      <c r="C23" s="12" t="s">
        <v>40</v>
      </c>
      <c r="D23" s="13">
        <v>26313</v>
      </c>
      <c r="E23" s="14">
        <v>23667</v>
      </c>
    </row>
    <row r="24" spans="2:5" ht="36">
      <c r="B24" s="11" t="s">
        <v>41</v>
      </c>
      <c r="C24" s="12" t="s">
        <v>42</v>
      </c>
      <c r="D24" s="13">
        <v>0</v>
      </c>
      <c r="E24" s="14">
        <v>0</v>
      </c>
    </row>
    <row r="25" spans="2:5" ht="12">
      <c r="B25" s="11" t="s">
        <v>43</v>
      </c>
      <c r="C25" s="12"/>
      <c r="D25" s="13">
        <v>0</v>
      </c>
      <c r="E25" s="14">
        <v>0</v>
      </c>
    </row>
    <row r="26" spans="2:5" ht="36">
      <c r="B26" s="11" t="s">
        <v>44</v>
      </c>
      <c r="C26" s="12" t="s">
        <v>45</v>
      </c>
      <c r="D26" s="13">
        <v>147193</v>
      </c>
      <c r="E26" s="14">
        <v>158681</v>
      </c>
    </row>
    <row r="27" spans="2:5" ht="12">
      <c r="B27" s="11" t="s">
        <v>43</v>
      </c>
      <c r="C27" s="12" t="s">
        <v>46</v>
      </c>
      <c r="D27" s="13">
        <v>93659</v>
      </c>
      <c r="E27" s="14">
        <v>122721</v>
      </c>
    </row>
    <row r="28" spans="2:5" ht="12">
      <c r="B28" s="11" t="s">
        <v>47</v>
      </c>
      <c r="C28" s="12" t="s">
        <v>48</v>
      </c>
      <c r="D28" s="13">
        <v>33478</v>
      </c>
      <c r="E28" s="14">
        <v>2272</v>
      </c>
    </row>
    <row r="29" spans="2:5" ht="12">
      <c r="B29" s="11" t="s">
        <v>49</v>
      </c>
      <c r="C29" s="12" t="s">
        <v>50</v>
      </c>
      <c r="D29" s="13">
        <v>174</v>
      </c>
      <c r="E29" s="14">
        <v>1794</v>
      </c>
    </row>
    <row r="30" spans="2:5" ht="12">
      <c r="B30" s="15" t="s">
        <v>51</v>
      </c>
      <c r="C30" s="16" t="s">
        <v>52</v>
      </c>
      <c r="D30" s="17">
        <v>0</v>
      </c>
      <c r="E30" s="18">
        <v>0</v>
      </c>
    </row>
    <row r="31" spans="2:5" ht="12">
      <c r="B31" s="19" t="s">
        <v>53</v>
      </c>
      <c r="C31" s="20" t="s">
        <v>54</v>
      </c>
      <c r="D31" s="21">
        <f>D14+D23+D24+D26+D28+D29+D30</f>
        <v>240749</v>
      </c>
      <c r="E31" s="21">
        <f>E14+E23+E24+E26+E28+E29+E30</f>
        <v>203044</v>
      </c>
    </row>
    <row r="32" spans="2:5" ht="12">
      <c r="B32" s="19" t="s">
        <v>55</v>
      </c>
      <c r="C32" s="20" t="s">
        <v>56</v>
      </c>
      <c r="D32" s="21">
        <f>D12+D31</f>
        <v>299075</v>
      </c>
      <c r="E32" s="21">
        <f>E12+E31</f>
        <v>229397</v>
      </c>
    </row>
    <row r="33" spans="2:5" ht="12.75">
      <c r="B33" s="158" t="s">
        <v>57</v>
      </c>
      <c r="C33" s="158"/>
      <c r="D33" s="158"/>
      <c r="E33" s="158"/>
    </row>
    <row r="34" spans="2:5" ht="12">
      <c r="B34" s="31" t="s">
        <v>59</v>
      </c>
      <c r="C34" s="29"/>
      <c r="D34" s="43"/>
      <c r="E34" s="44"/>
    </row>
    <row r="35" spans="2:5" ht="12">
      <c r="B35" s="32" t="s">
        <v>60</v>
      </c>
      <c r="C35" s="30" t="s">
        <v>61</v>
      </c>
      <c r="D35" s="13">
        <v>3066</v>
      </c>
      <c r="E35" s="14">
        <v>3066</v>
      </c>
    </row>
    <row r="36" spans="2:5" ht="12">
      <c r="B36" s="32" t="s">
        <v>62</v>
      </c>
      <c r="C36" s="30"/>
      <c r="D36" s="13"/>
      <c r="E36" s="14"/>
    </row>
    <row r="37" spans="2:5" ht="12">
      <c r="B37" s="32" t="s">
        <v>63</v>
      </c>
      <c r="C37" s="30" t="s">
        <v>64</v>
      </c>
      <c r="D37" s="13">
        <v>1037</v>
      </c>
      <c r="E37" s="14">
        <v>1037</v>
      </c>
    </row>
    <row r="38" spans="2:5" ht="12">
      <c r="B38" s="32" t="s">
        <v>65</v>
      </c>
      <c r="C38" s="30" t="s">
        <v>66</v>
      </c>
      <c r="D38" s="13">
        <f>D40+D42</f>
        <v>1238</v>
      </c>
      <c r="E38" s="14">
        <f>E40+E42</f>
        <v>1238</v>
      </c>
    </row>
    <row r="39" spans="2:5" ht="12">
      <c r="B39" s="32" t="s">
        <v>24</v>
      </c>
      <c r="C39" s="30"/>
      <c r="D39" s="13"/>
      <c r="E39" s="14"/>
    </row>
    <row r="40" spans="2:5" ht="24">
      <c r="B40" s="32" t="s">
        <v>67</v>
      </c>
      <c r="C40" s="30" t="s">
        <v>68</v>
      </c>
      <c r="D40" s="13">
        <v>1238</v>
      </c>
      <c r="E40" s="14">
        <v>1238</v>
      </c>
    </row>
    <row r="41" spans="2:5" ht="24">
      <c r="B41" s="32" t="s">
        <v>69</v>
      </c>
      <c r="C41" s="30"/>
      <c r="D41" s="13"/>
      <c r="E41" s="14"/>
    </row>
    <row r="42" spans="2:5" ht="12">
      <c r="B42" s="32" t="s">
        <v>70</v>
      </c>
      <c r="C42" s="30" t="s">
        <v>71</v>
      </c>
      <c r="D42" s="13">
        <v>0</v>
      </c>
      <c r="E42" s="14">
        <v>0</v>
      </c>
    </row>
    <row r="43" spans="2:5" ht="12">
      <c r="B43" s="32" t="s">
        <v>72</v>
      </c>
      <c r="C43" s="30" t="s">
        <v>73</v>
      </c>
      <c r="D43" s="13">
        <v>0</v>
      </c>
      <c r="E43" s="14">
        <v>0</v>
      </c>
    </row>
    <row r="44" spans="2:5" ht="12">
      <c r="B44" s="33" t="s">
        <v>74</v>
      </c>
      <c r="C44" s="34" t="s">
        <v>75</v>
      </c>
      <c r="D44" s="13">
        <v>53760</v>
      </c>
      <c r="E44" s="14">
        <v>40160</v>
      </c>
    </row>
    <row r="45" spans="2:5" ht="12">
      <c r="B45" s="39" t="s">
        <v>76</v>
      </c>
      <c r="C45" s="40" t="s">
        <v>77</v>
      </c>
      <c r="D45" s="21">
        <f>D35+D37+D38+D44+D43</f>
        <v>59101</v>
      </c>
      <c r="E45" s="21">
        <f>E35+E37+E38+E44+E43</f>
        <v>45501</v>
      </c>
    </row>
    <row r="46" spans="2:5" ht="12">
      <c r="B46" s="35" t="s">
        <v>78</v>
      </c>
      <c r="C46" s="36"/>
      <c r="D46" s="37"/>
      <c r="E46" s="38"/>
    </row>
    <row r="47" spans="2:5" ht="12">
      <c r="B47" s="32" t="s">
        <v>79</v>
      </c>
      <c r="C47" s="30" t="s">
        <v>80</v>
      </c>
      <c r="D47" s="28">
        <v>0</v>
      </c>
      <c r="E47" s="27">
        <v>0</v>
      </c>
    </row>
    <row r="48" spans="2:5" ht="12">
      <c r="B48" s="32" t="s">
        <v>81</v>
      </c>
      <c r="C48" s="30" t="s">
        <v>82</v>
      </c>
      <c r="D48" s="28">
        <v>0</v>
      </c>
      <c r="E48" s="27">
        <v>0</v>
      </c>
    </row>
    <row r="49" spans="2:5" ht="12">
      <c r="B49" s="33" t="s">
        <v>83</v>
      </c>
      <c r="C49" s="34" t="s">
        <v>84</v>
      </c>
      <c r="D49" s="41">
        <v>0</v>
      </c>
      <c r="E49" s="42">
        <v>0</v>
      </c>
    </row>
    <row r="50" spans="2:5" ht="12">
      <c r="B50" s="39" t="s">
        <v>85</v>
      </c>
      <c r="C50" s="40" t="s">
        <v>86</v>
      </c>
      <c r="D50" s="26">
        <f>D47+D48+D49</f>
        <v>0</v>
      </c>
      <c r="E50" s="26">
        <f>E47+E48+E49</f>
        <v>0</v>
      </c>
    </row>
    <row r="51" spans="2:5" ht="12">
      <c r="B51" s="35" t="s">
        <v>87</v>
      </c>
      <c r="C51" s="36"/>
      <c r="D51" s="37"/>
      <c r="E51" s="38"/>
    </row>
    <row r="52" spans="2:5" ht="12">
      <c r="B52" s="32" t="s">
        <v>88</v>
      </c>
      <c r="C52" s="30" t="s">
        <v>89</v>
      </c>
      <c r="D52" s="13">
        <v>7896</v>
      </c>
      <c r="E52" s="14">
        <v>0</v>
      </c>
    </row>
    <row r="53" spans="2:5" ht="12">
      <c r="B53" s="32" t="s">
        <v>90</v>
      </c>
      <c r="C53" s="30" t="s">
        <v>91</v>
      </c>
      <c r="D53" s="13">
        <v>232078</v>
      </c>
      <c r="E53" s="14">
        <v>183896</v>
      </c>
    </row>
    <row r="54" spans="2:5" ht="12">
      <c r="B54" s="32" t="s">
        <v>24</v>
      </c>
      <c r="C54" s="30"/>
      <c r="D54" s="13"/>
      <c r="E54" s="14"/>
    </row>
    <row r="55" spans="2:5" ht="12">
      <c r="B55" s="32" t="s">
        <v>92</v>
      </c>
      <c r="C55" s="30" t="s">
        <v>93</v>
      </c>
      <c r="D55" s="13">
        <v>158062</v>
      </c>
      <c r="E55" s="14">
        <v>140901</v>
      </c>
    </row>
    <row r="56" spans="2:5" ht="12">
      <c r="B56" s="32" t="s">
        <v>94</v>
      </c>
      <c r="C56" s="30" t="s">
        <v>95</v>
      </c>
      <c r="D56" s="13">
        <v>28660</v>
      </c>
      <c r="E56" s="14">
        <v>3660</v>
      </c>
    </row>
    <row r="57" spans="2:5" ht="24">
      <c r="B57" s="32" t="s">
        <v>96</v>
      </c>
      <c r="C57" s="30" t="s">
        <v>97</v>
      </c>
      <c r="D57" s="13">
        <v>0</v>
      </c>
      <c r="E57" s="14">
        <v>0</v>
      </c>
    </row>
    <row r="58" spans="2:5" ht="12">
      <c r="B58" s="32" t="s">
        <v>98</v>
      </c>
      <c r="C58" s="30" t="s">
        <v>99</v>
      </c>
      <c r="D58" s="13">
        <v>1134</v>
      </c>
      <c r="E58" s="14">
        <v>1729</v>
      </c>
    </row>
    <row r="59" spans="2:5" ht="12">
      <c r="B59" s="32" t="s">
        <v>100</v>
      </c>
      <c r="C59" s="30" t="s">
        <v>101</v>
      </c>
      <c r="D59" s="13">
        <v>1731</v>
      </c>
      <c r="E59" s="14">
        <v>445</v>
      </c>
    </row>
    <row r="60" spans="2:5" ht="24">
      <c r="B60" s="32" t="s">
        <v>102</v>
      </c>
      <c r="C60" s="30" t="s">
        <v>103</v>
      </c>
      <c r="D60" s="13">
        <v>0</v>
      </c>
      <c r="E60" s="14">
        <v>0</v>
      </c>
    </row>
    <row r="61" spans="2:5" ht="12">
      <c r="B61" s="32" t="s">
        <v>104</v>
      </c>
      <c r="C61" s="30" t="s">
        <v>105</v>
      </c>
      <c r="D61" s="13">
        <v>0</v>
      </c>
      <c r="E61" s="14">
        <v>0</v>
      </c>
    </row>
    <row r="62" spans="2:5" ht="12">
      <c r="B62" s="32" t="s">
        <v>106</v>
      </c>
      <c r="C62" s="30" t="s">
        <v>107</v>
      </c>
      <c r="D62" s="13">
        <v>0</v>
      </c>
      <c r="E62" s="14">
        <v>0</v>
      </c>
    </row>
    <row r="63" spans="2:5" ht="12">
      <c r="B63" s="33" t="s">
        <v>108</v>
      </c>
      <c r="C63" s="34" t="s">
        <v>109</v>
      </c>
      <c r="D63" s="13">
        <v>0</v>
      </c>
      <c r="E63" s="14">
        <v>0</v>
      </c>
    </row>
    <row r="64" spans="2:5" ht="12">
      <c r="B64" s="39" t="s">
        <v>110</v>
      </c>
      <c r="C64" s="40" t="s">
        <v>111</v>
      </c>
      <c r="D64" s="26">
        <f>D52+D53+D60+D61+D62+D63</f>
        <v>239974</v>
      </c>
      <c r="E64" s="26">
        <f>E52+E53+E60+E61+E62+E63</f>
        <v>183896</v>
      </c>
    </row>
    <row r="65" spans="2:5" ht="12">
      <c r="B65" s="39" t="s">
        <v>55</v>
      </c>
      <c r="C65" s="40" t="s">
        <v>112</v>
      </c>
      <c r="D65" s="26">
        <f>D45+D50+D64</f>
        <v>299075</v>
      </c>
      <c r="E65" s="26">
        <f>E45+E50+E64</f>
        <v>229397</v>
      </c>
    </row>
    <row r="66" spans="2:5" ht="12">
      <c r="B66" s="45" t="s">
        <v>113</v>
      </c>
      <c r="C66" s="46"/>
      <c r="D66" s="47">
        <f>D65-D32</f>
        <v>0</v>
      </c>
      <c r="E66" s="47">
        <f>E65-E32</f>
        <v>0</v>
      </c>
    </row>
    <row r="69" spans="2:5" ht="24" customHeight="1">
      <c r="B69" s="159" t="s">
        <v>115</v>
      </c>
      <c r="C69" s="159"/>
      <c r="D69" s="159" t="s">
        <v>154</v>
      </c>
      <c r="E69" s="159" t="s">
        <v>137</v>
      </c>
    </row>
    <row r="70" spans="2:5" ht="26.25" customHeight="1">
      <c r="B70" s="2" t="s">
        <v>138</v>
      </c>
      <c r="C70" s="2" t="s">
        <v>58</v>
      </c>
      <c r="D70" s="159"/>
      <c r="E70" s="159"/>
    </row>
    <row r="71" spans="2:5" ht="24">
      <c r="B71" s="55" t="s">
        <v>139</v>
      </c>
      <c r="C71" s="49"/>
      <c r="D71" s="62"/>
      <c r="E71" s="62"/>
    </row>
    <row r="72" spans="2:5" ht="48">
      <c r="B72" s="56" t="s">
        <v>157</v>
      </c>
      <c r="C72" s="50" t="s">
        <v>117</v>
      </c>
      <c r="D72" s="67">
        <v>130697</v>
      </c>
      <c r="E72" s="67">
        <v>540471</v>
      </c>
    </row>
    <row r="73" spans="2:5" ht="24">
      <c r="B73" s="57" t="s">
        <v>140</v>
      </c>
      <c r="C73" s="52" t="s">
        <v>118</v>
      </c>
      <c r="D73" s="67">
        <v>120154</v>
      </c>
      <c r="E73" s="67">
        <v>476123</v>
      </c>
    </row>
    <row r="74" spans="2:5" ht="12">
      <c r="B74" s="58" t="s">
        <v>119</v>
      </c>
      <c r="C74" s="54" t="s">
        <v>120</v>
      </c>
      <c r="D74" s="64">
        <f>IF(D72-ABS(D73)&gt;=0,D72-ABS(D73),CONCATENATE("(",ABS(D72-ABS(D73)),")"))</f>
        <v>10543</v>
      </c>
      <c r="E74" s="64">
        <f>IF(E72-ABS(E73)&gt;=0,E72-ABS(E73),CONCATENATE("(",ABS(E72-ABS(E73)),")"))</f>
        <v>64348</v>
      </c>
    </row>
    <row r="75" spans="2:5" ht="12">
      <c r="B75" s="59" t="s">
        <v>121</v>
      </c>
      <c r="C75" s="53" t="s">
        <v>122</v>
      </c>
      <c r="D75" s="67">
        <v>0</v>
      </c>
      <c r="E75" s="67">
        <v>4325</v>
      </c>
    </row>
    <row r="76" spans="2:5" ht="12">
      <c r="B76" s="57" t="s">
        <v>123</v>
      </c>
      <c r="C76" s="52" t="s">
        <v>124</v>
      </c>
      <c r="D76" s="67">
        <v>5262</v>
      </c>
      <c r="E76" s="67">
        <v>27466</v>
      </c>
    </row>
    <row r="77" spans="2:5" ht="12">
      <c r="B77" s="58" t="s">
        <v>141</v>
      </c>
      <c r="C77" s="54" t="s">
        <v>125</v>
      </c>
      <c r="D77" s="64">
        <f>IF((D72-ABS(D73)-ABS(D75)-ABS(D76))&gt;=0,D72-ABS(D73)-ABS(D75)-ABS(D76),CONCATENATE("(",ABS(D72-ABS(D73)-ABS(D75)-ABS(D76)),")"))</f>
        <v>5281</v>
      </c>
      <c r="E77" s="64">
        <f>IF((E72-ABS(E73)-ABS(E75)-ABS(E76))&gt;=0,E72-ABS(E73)-ABS(E75)-ABS(E76),CONCATENATE("(",ABS(E72-ABS(E73)-ABS(E75)-ABS(E76)),")"))</f>
        <v>32557</v>
      </c>
    </row>
    <row r="78" spans="2:5" ht="12">
      <c r="B78" s="55" t="s">
        <v>142</v>
      </c>
      <c r="C78" s="53"/>
      <c r="D78" s="62"/>
      <c r="E78" s="62"/>
    </row>
    <row r="79" spans="2:5" ht="12">
      <c r="B79" s="56" t="s">
        <v>126</v>
      </c>
      <c r="C79" s="50" t="s">
        <v>127</v>
      </c>
      <c r="D79" s="67">
        <v>0</v>
      </c>
      <c r="E79" s="67">
        <v>0</v>
      </c>
    </row>
    <row r="80" spans="2:5" ht="12">
      <c r="B80" s="56" t="s">
        <v>128</v>
      </c>
      <c r="C80" s="50" t="s">
        <v>129</v>
      </c>
      <c r="D80" s="67">
        <v>0</v>
      </c>
      <c r="E80" s="67">
        <v>0</v>
      </c>
    </row>
    <row r="81" spans="2:5" ht="12">
      <c r="B81" s="56" t="s">
        <v>130</v>
      </c>
      <c r="C81" s="50" t="s">
        <v>131</v>
      </c>
      <c r="D81" s="67">
        <v>0</v>
      </c>
      <c r="E81" s="67">
        <v>0</v>
      </c>
    </row>
    <row r="82" spans="2:5" ht="12">
      <c r="B82" s="56" t="s">
        <v>143</v>
      </c>
      <c r="C82" s="50" t="s">
        <v>132</v>
      </c>
      <c r="D82" s="67">
        <v>11460</v>
      </c>
      <c r="E82" s="67">
        <v>134247</v>
      </c>
    </row>
    <row r="83" spans="2:5" ht="12">
      <c r="B83" s="56" t="s">
        <v>144</v>
      </c>
      <c r="C83" s="50" t="s">
        <v>133</v>
      </c>
      <c r="D83" s="67">
        <v>11459</v>
      </c>
      <c r="E83" s="67">
        <v>139560</v>
      </c>
    </row>
    <row r="84" spans="2:5" ht="12">
      <c r="B84" s="56" t="s">
        <v>134</v>
      </c>
      <c r="C84" s="50" t="s">
        <v>8</v>
      </c>
      <c r="D84" s="67">
        <v>10</v>
      </c>
      <c r="E84" s="67">
        <v>609</v>
      </c>
    </row>
    <row r="85" spans="2:5" ht="12">
      <c r="B85" s="57" t="s">
        <v>135</v>
      </c>
      <c r="C85" s="52" t="s">
        <v>10</v>
      </c>
      <c r="D85" s="67">
        <v>1001</v>
      </c>
      <c r="E85" s="67">
        <v>7713</v>
      </c>
    </row>
    <row r="86" spans="2:5" ht="12">
      <c r="B86" s="4" t="s">
        <v>145</v>
      </c>
      <c r="C86" s="54" t="s">
        <v>14</v>
      </c>
      <c r="D86" s="64">
        <f>IF((D72-ABS(D73)-ABS(D75)-ABS(D76)+D79-ABS(D80)+D81+D82-ABS(D83)+D84-ABS(D85))&gt;=0,D72-ABS(D73)-ABS(D75)-ABS(D76)+D79-ABS(D80)+D81+D82-ABS(D83)+D84-ABS(D85),CONCATENATE("(",ABS(D72-ABS(D73)-ABS(D75)-ABS(D76)+D79-ABS(D80)+D81+D82-ABS(D83)+D84-ABS(D85)),")"))</f>
        <v>4291</v>
      </c>
      <c r="E86" s="64">
        <f>IF((E72-ABS(E73)-ABS(E75)-ABS(E76)+E79-ABS(E80)+E81+E82-ABS(E83)+E84-ABS(E85))&gt;=0,E72-ABS(E73)-ABS(E75)-ABS(E76)+E79-ABS(E80)+E81+E82-ABS(E83)+E84-ABS(E85),CONCATENATE("(",ABS(E72-ABS(E73)-ABS(E75)-ABS(E76)+E79-ABS(E80)+E81+E82-ABS(E83)+E84-ABS(E85)),")"))</f>
        <v>20140</v>
      </c>
    </row>
    <row r="87" spans="2:5" ht="12">
      <c r="B87" s="59" t="s">
        <v>116</v>
      </c>
      <c r="C87" s="53" t="s">
        <v>146</v>
      </c>
      <c r="D87" s="62"/>
      <c r="E87" s="62"/>
    </row>
    <row r="88" spans="2:5" ht="12">
      <c r="B88" s="56" t="s">
        <v>81</v>
      </c>
      <c r="C88" s="50" t="s">
        <v>147</v>
      </c>
      <c r="D88" s="65"/>
      <c r="E88" s="65"/>
    </row>
    <row r="89" spans="2:5" ht="12">
      <c r="B89" s="3" t="s">
        <v>136</v>
      </c>
      <c r="C89" s="50" t="s">
        <v>18</v>
      </c>
      <c r="D89" s="67">
        <v>440</v>
      </c>
      <c r="E89" s="67">
        <v>7435</v>
      </c>
    </row>
    <row r="90" spans="2:5" ht="12">
      <c r="B90" s="60"/>
      <c r="C90" s="52"/>
      <c r="D90" s="63"/>
      <c r="E90" s="63"/>
    </row>
    <row r="91" spans="2:5" ht="12">
      <c r="B91" s="4" t="s">
        <v>148</v>
      </c>
      <c r="C91" s="54" t="s">
        <v>20</v>
      </c>
      <c r="D91" s="64">
        <f>IF(VALUE(D86)+D87+D88-ABS(D89)&gt;=0,VALUE(D86)+D87+D88-ABS(D89),CONCATENATE("(",ABS(VALUE(D86)+D87+D88-ABS(D89)),")"))</f>
        <v>3851</v>
      </c>
      <c r="E91" s="64">
        <f>IF(VALUE(E86)+E87+E88-ABS(E89)&gt;=0,VALUE(E86)+E87+E88-ABS(E89),CONCATENATE("(",ABS(VALUE(E86)+E87+E88-ABS(E89)),")"))</f>
        <v>12705</v>
      </c>
    </row>
    <row r="92" spans="2:5" ht="12">
      <c r="B92" s="59" t="s">
        <v>149</v>
      </c>
      <c r="C92" s="53"/>
      <c r="D92" s="62"/>
      <c r="E92" s="62"/>
    </row>
    <row r="93" spans="2:5" ht="12">
      <c r="B93" s="56" t="s">
        <v>150</v>
      </c>
      <c r="C93" s="50" t="s">
        <v>151</v>
      </c>
      <c r="D93" s="65"/>
      <c r="E93" s="65"/>
    </row>
    <row r="94" spans="2:5" ht="12">
      <c r="B94" s="3" t="s">
        <v>152</v>
      </c>
      <c r="C94" s="50"/>
      <c r="D94" s="65"/>
      <c r="E94" s="65"/>
    </row>
    <row r="95" spans="2:5" ht="12">
      <c r="B95" s="61" t="s">
        <v>153</v>
      </c>
      <c r="C95" s="51"/>
      <c r="D95" s="66"/>
      <c r="E95" s="66"/>
    </row>
  </sheetData>
  <mergeCells count="5">
    <mergeCell ref="B3:E3"/>
    <mergeCell ref="B33:E33"/>
    <mergeCell ref="B69:C69"/>
    <mergeCell ref="D69:D70"/>
    <mergeCell ref="E69:E7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zoomScaleSheetLayoutView="100" workbookViewId="0" topLeftCell="A1">
      <selection activeCell="E26" sqref="E26"/>
    </sheetView>
  </sheetViews>
  <sheetFormatPr defaultColWidth="9.00390625" defaultRowHeight="12.75"/>
  <cols>
    <col min="1" max="1" width="1.75390625" style="208" customWidth="1"/>
    <col min="2" max="2" width="4.75390625" style="208" customWidth="1"/>
    <col min="3" max="3" width="51.00390625" style="208" customWidth="1"/>
    <col min="4" max="4" width="13.375" style="208" customWidth="1"/>
    <col min="5" max="6" width="9.25390625" style="208" customWidth="1"/>
    <col min="7" max="7" width="1.75390625" style="208" customWidth="1"/>
    <col min="8" max="16384" width="9.25390625" style="208" customWidth="1"/>
  </cols>
  <sheetData>
    <row r="1" spans="2:7" ht="12">
      <c r="B1" s="207" t="s">
        <v>391</v>
      </c>
      <c r="C1" s="207"/>
      <c r="D1" s="207"/>
      <c r="E1" s="207"/>
      <c r="F1" s="207"/>
      <c r="G1" s="207"/>
    </row>
    <row r="3" spans="2:6" s="210" customFormat="1" ht="36">
      <c r="B3" s="209" t="s">
        <v>114</v>
      </c>
      <c r="C3" s="209" t="s">
        <v>392</v>
      </c>
      <c r="D3" s="209" t="s">
        <v>393</v>
      </c>
      <c r="E3" s="6" t="s">
        <v>2</v>
      </c>
      <c r="F3" s="6" t="s">
        <v>3</v>
      </c>
    </row>
    <row r="4" spans="2:6" ht="12">
      <c r="B4" s="211" t="s">
        <v>394</v>
      </c>
      <c r="C4" s="212" t="s">
        <v>395</v>
      </c>
      <c r="D4" s="213"/>
      <c r="E4" s="214"/>
      <c r="F4" s="215"/>
    </row>
    <row r="5" spans="2:6" ht="12">
      <c r="B5" s="216" t="s">
        <v>175</v>
      </c>
      <c r="C5" s="217" t="s">
        <v>5</v>
      </c>
      <c r="D5" s="218">
        <v>110</v>
      </c>
      <c r="E5" s="219">
        <f>Баланс!D5</f>
        <v>981</v>
      </c>
      <c r="F5" s="220">
        <f>Баланс!E5</f>
        <v>1387</v>
      </c>
    </row>
    <row r="6" spans="2:6" ht="12">
      <c r="B6" s="221" t="s">
        <v>396</v>
      </c>
      <c r="C6" s="222" t="s">
        <v>316</v>
      </c>
      <c r="D6" s="223">
        <v>120</v>
      </c>
      <c r="E6" s="224">
        <f>Баланс!D6</f>
        <v>20092</v>
      </c>
      <c r="F6" s="225">
        <f>Баланс!E6</f>
        <v>22040</v>
      </c>
    </row>
    <row r="7" spans="2:6" ht="12">
      <c r="B7" s="221" t="s">
        <v>177</v>
      </c>
      <c r="C7" s="222" t="s">
        <v>9</v>
      </c>
      <c r="D7" s="223">
        <v>130</v>
      </c>
      <c r="E7" s="224">
        <f>Баланс!D7</f>
        <v>0</v>
      </c>
      <c r="F7" s="225">
        <f>Баланс!E7</f>
        <v>0</v>
      </c>
    </row>
    <row r="8" spans="2:6" ht="12">
      <c r="B8" s="221" t="s">
        <v>178</v>
      </c>
      <c r="C8" s="222" t="s">
        <v>11</v>
      </c>
      <c r="D8" s="223">
        <v>135</v>
      </c>
      <c r="E8" s="224">
        <f>Баланс!D8</f>
        <v>0</v>
      </c>
      <c r="F8" s="225">
        <f>Баланс!E8</f>
        <v>0</v>
      </c>
    </row>
    <row r="9" spans="2:6" ht="13.5">
      <c r="B9" s="221" t="s">
        <v>179</v>
      </c>
      <c r="C9" s="222" t="s">
        <v>430</v>
      </c>
      <c r="D9" s="223" t="s">
        <v>397</v>
      </c>
      <c r="E9" s="224">
        <f>Баланс!D9+Баланс!D28</f>
        <v>54447</v>
      </c>
      <c r="F9" s="225">
        <f>Баланс!E9+Баланс!E28</f>
        <v>5198</v>
      </c>
    </row>
    <row r="10" spans="2:6" s="226" customFormat="1" ht="13.5">
      <c r="B10" s="221" t="s">
        <v>180</v>
      </c>
      <c r="C10" s="222" t="s">
        <v>431</v>
      </c>
      <c r="D10" s="223">
        <v>150</v>
      </c>
      <c r="E10" s="224">
        <f>Баланс!D11</f>
        <v>0</v>
      </c>
      <c r="F10" s="225">
        <f>Баланс!E11</f>
        <v>0</v>
      </c>
    </row>
    <row r="11" spans="2:9" ht="12">
      <c r="B11" s="221" t="s">
        <v>263</v>
      </c>
      <c r="C11" s="222" t="s">
        <v>22</v>
      </c>
      <c r="D11" s="223">
        <v>210</v>
      </c>
      <c r="E11" s="224">
        <f>Баланс!D14</f>
        <v>33591</v>
      </c>
      <c r="F11" s="225">
        <f>Баланс!E14</f>
        <v>16630</v>
      </c>
      <c r="I11" s="227"/>
    </row>
    <row r="12" spans="2:6" ht="24">
      <c r="B12" s="221" t="s">
        <v>264</v>
      </c>
      <c r="C12" s="222" t="s">
        <v>39</v>
      </c>
      <c r="D12" s="223">
        <v>220</v>
      </c>
      <c r="E12" s="224">
        <f>Баланс!D23</f>
        <v>26313</v>
      </c>
      <c r="F12" s="225">
        <f>Баланс!E23</f>
        <v>23667</v>
      </c>
    </row>
    <row r="13" spans="2:9" ht="13.5">
      <c r="B13" s="221" t="s">
        <v>265</v>
      </c>
      <c r="C13" s="222" t="s">
        <v>432</v>
      </c>
      <c r="D13" s="223" t="s">
        <v>398</v>
      </c>
      <c r="E13" s="224">
        <f>Баланс!D24+Баланс!D26</f>
        <v>147193</v>
      </c>
      <c r="F13" s="225">
        <f>Баланс!E24+Баланс!E26</f>
        <v>158681</v>
      </c>
      <c r="I13" s="227"/>
    </row>
    <row r="14" spans="2:6" ht="12">
      <c r="B14" s="221" t="s">
        <v>266</v>
      </c>
      <c r="C14" s="222" t="s">
        <v>49</v>
      </c>
      <c r="D14" s="223">
        <v>260</v>
      </c>
      <c r="E14" s="224">
        <f>Баланс!D29</f>
        <v>174</v>
      </c>
      <c r="F14" s="225">
        <f>Баланс!E29</f>
        <v>1794</v>
      </c>
    </row>
    <row r="15" spans="2:6" ht="12">
      <c r="B15" s="228" t="s">
        <v>399</v>
      </c>
      <c r="C15" s="229" t="s">
        <v>51</v>
      </c>
      <c r="D15" s="230">
        <v>270</v>
      </c>
      <c r="E15" s="231">
        <f>Баланс!D30</f>
        <v>0</v>
      </c>
      <c r="F15" s="232">
        <f>Баланс!E30</f>
        <v>0</v>
      </c>
    </row>
    <row r="16" spans="2:9" ht="24">
      <c r="B16" s="233" t="s">
        <v>400</v>
      </c>
      <c r="C16" s="234" t="s">
        <v>401</v>
      </c>
      <c r="D16" s="213"/>
      <c r="E16" s="235">
        <f>SUM(E5:E15)</f>
        <v>282791</v>
      </c>
      <c r="F16" s="235">
        <f>SUM(F5:F15)</f>
        <v>229397</v>
      </c>
      <c r="I16" s="227"/>
    </row>
    <row r="17" spans="2:6" ht="12">
      <c r="B17" s="211" t="s">
        <v>402</v>
      </c>
      <c r="C17" s="212" t="s">
        <v>403</v>
      </c>
      <c r="D17" s="236"/>
      <c r="E17" s="237"/>
      <c r="F17" s="238"/>
    </row>
    <row r="18" spans="2:6" ht="12">
      <c r="B18" s="216" t="s">
        <v>404</v>
      </c>
      <c r="C18" s="217" t="s">
        <v>405</v>
      </c>
      <c r="D18" s="218">
        <v>510</v>
      </c>
      <c r="E18" s="219">
        <f>Баланс!D47</f>
        <v>0</v>
      </c>
      <c r="F18" s="220">
        <f>Баланс!E47</f>
        <v>0</v>
      </c>
    </row>
    <row r="19" spans="2:6" s="226" customFormat="1" ht="13.5">
      <c r="B19" s="221" t="s">
        <v>406</v>
      </c>
      <c r="C19" s="222" t="s">
        <v>433</v>
      </c>
      <c r="D19" s="223" t="s">
        <v>407</v>
      </c>
      <c r="E19" s="224">
        <f>Баланс!D48+Баланс!D49</f>
        <v>0</v>
      </c>
      <c r="F19" s="225">
        <f>Баланс!E48+Баланс!E49</f>
        <v>0</v>
      </c>
    </row>
    <row r="20" spans="2:6" ht="12">
      <c r="B20" s="221" t="s">
        <v>408</v>
      </c>
      <c r="C20" s="222" t="s">
        <v>409</v>
      </c>
      <c r="D20" s="223">
        <v>610</v>
      </c>
      <c r="E20" s="224">
        <f>Баланс!D52</f>
        <v>7896</v>
      </c>
      <c r="F20" s="225">
        <f>Баланс!E52</f>
        <v>0</v>
      </c>
    </row>
    <row r="21" spans="2:6" ht="12">
      <c r="B21" s="221" t="s">
        <v>410</v>
      </c>
      <c r="C21" s="222" t="s">
        <v>90</v>
      </c>
      <c r="D21" s="223">
        <v>620</v>
      </c>
      <c r="E21" s="224">
        <f>Баланс!D53</f>
        <v>232078</v>
      </c>
      <c r="F21" s="225">
        <f>Баланс!E53</f>
        <v>183896</v>
      </c>
    </row>
    <row r="22" spans="2:6" ht="24">
      <c r="B22" s="221" t="s">
        <v>411</v>
      </c>
      <c r="C22" s="222" t="s">
        <v>412</v>
      </c>
      <c r="D22" s="223">
        <v>630</v>
      </c>
      <c r="E22" s="224">
        <f>Баланс!D60</f>
        <v>0</v>
      </c>
      <c r="F22" s="225">
        <f>Баланс!E60</f>
        <v>0</v>
      </c>
    </row>
    <row r="23" spans="2:6" ht="12">
      <c r="B23" s="221" t="s">
        <v>413</v>
      </c>
      <c r="C23" s="222" t="s">
        <v>317</v>
      </c>
      <c r="D23" s="223">
        <v>650</v>
      </c>
      <c r="E23" s="224">
        <f>Баланс!D62</f>
        <v>0</v>
      </c>
      <c r="F23" s="225">
        <f>Баланс!E62</f>
        <v>0</v>
      </c>
    </row>
    <row r="24" spans="2:6" s="226" customFormat="1" ht="13.5">
      <c r="B24" s="228" t="s">
        <v>414</v>
      </c>
      <c r="C24" s="229" t="s">
        <v>434</v>
      </c>
      <c r="D24" s="230">
        <v>660</v>
      </c>
      <c r="E24" s="231">
        <f>Баланс!D63</f>
        <v>0</v>
      </c>
      <c r="F24" s="232">
        <f>Баланс!E63</f>
        <v>0</v>
      </c>
    </row>
    <row r="25" spans="2:6" ht="24">
      <c r="B25" s="233" t="s">
        <v>415</v>
      </c>
      <c r="C25" s="234" t="s">
        <v>416</v>
      </c>
      <c r="D25" s="213"/>
      <c r="E25" s="235">
        <f>SUM(E18:E24)</f>
        <v>239974</v>
      </c>
      <c r="F25" s="235">
        <f>SUM(F18:F24)</f>
        <v>183896</v>
      </c>
    </row>
    <row r="26" spans="2:6" s="239" customFormat="1" ht="36">
      <c r="B26" s="233" t="s">
        <v>417</v>
      </c>
      <c r="C26" s="234" t="s">
        <v>418</v>
      </c>
      <c r="D26" s="213"/>
      <c r="E26" s="235">
        <f>E16-E25</f>
        <v>42817</v>
      </c>
      <c r="F26" s="235">
        <f>F16-F25</f>
        <v>45501</v>
      </c>
    </row>
    <row r="28" spans="2:6" ht="13.5">
      <c r="B28" s="240" t="s">
        <v>419</v>
      </c>
      <c r="C28" s="241" t="s">
        <v>420</v>
      </c>
      <c r="F28" s="239"/>
    </row>
    <row r="29" spans="2:6" ht="13.5">
      <c r="B29" s="240" t="s">
        <v>421</v>
      </c>
      <c r="C29" s="241" t="s">
        <v>422</v>
      </c>
      <c r="F29" s="239"/>
    </row>
    <row r="30" spans="2:6" ht="13.5">
      <c r="B30" s="240" t="s">
        <v>423</v>
      </c>
      <c r="C30" s="241" t="s">
        <v>424</v>
      </c>
      <c r="F30" s="239"/>
    </row>
    <row r="31" spans="2:6" ht="13.5">
      <c r="B31" s="240" t="s">
        <v>425</v>
      </c>
      <c r="C31" s="241" t="s">
        <v>426</v>
      </c>
      <c r="F31" s="239"/>
    </row>
    <row r="32" spans="2:6" ht="13.5">
      <c r="B32" s="240" t="s">
        <v>427</v>
      </c>
      <c r="C32" s="241" t="s">
        <v>428</v>
      </c>
      <c r="E32" s="242"/>
      <c r="F32" s="242"/>
    </row>
    <row r="33" ht="12">
      <c r="C33" s="243" t="s">
        <v>429</v>
      </c>
    </row>
  </sheetData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B1:H29"/>
  <sheetViews>
    <sheetView workbookViewId="0" topLeftCell="A1">
      <selection activeCell="D9" sqref="D9"/>
    </sheetView>
  </sheetViews>
  <sheetFormatPr defaultColWidth="9.00390625" defaultRowHeight="12.75"/>
  <cols>
    <col min="1" max="1" width="1.75390625" style="1" customWidth="1"/>
    <col min="2" max="2" width="4.75390625" style="1" customWidth="1"/>
    <col min="3" max="3" width="36.625" style="1" customWidth="1"/>
    <col min="4" max="8" width="12.75390625" style="1" customWidth="1"/>
    <col min="9" max="16384" width="9.125" style="1" customWidth="1"/>
  </cols>
  <sheetData>
    <row r="1" ht="14.25">
      <c r="B1" s="48" t="s">
        <v>164</v>
      </c>
    </row>
    <row r="3" spans="2:7" s="68" customFormat="1" ht="12">
      <c r="B3" s="161" t="s">
        <v>114</v>
      </c>
      <c r="C3" s="165" t="s">
        <v>115</v>
      </c>
      <c r="D3" s="161" t="s">
        <v>173</v>
      </c>
      <c r="E3" s="161"/>
      <c r="F3" s="166" t="s">
        <v>174</v>
      </c>
      <c r="G3" s="161"/>
    </row>
    <row r="4" spans="2:7" s="68" customFormat="1" ht="33.75">
      <c r="B4" s="161"/>
      <c r="C4" s="165"/>
      <c r="D4" s="77" t="s">
        <v>166</v>
      </c>
      <c r="E4" s="77" t="s">
        <v>165</v>
      </c>
      <c r="F4" s="79" t="s">
        <v>166</v>
      </c>
      <c r="G4" s="77" t="s">
        <v>165</v>
      </c>
    </row>
    <row r="5" spans="2:7" ht="12">
      <c r="B5" s="83" t="s">
        <v>175</v>
      </c>
      <c r="C5" s="80" t="s">
        <v>167</v>
      </c>
      <c r="D5" s="96">
        <f>(Баланс!D28+Баланс!D29)/(Баланс!D52+Баланс!D53+Баланс!D63)</f>
        <v>0.14023185845133224</v>
      </c>
      <c r="E5" s="102">
        <v>8</v>
      </c>
      <c r="F5" s="99">
        <f>(Баланс!E28+Баланс!E29)/(Баланс!E52+Баланс!E53+Баланс!E63)</f>
        <v>0.022110323226171315</v>
      </c>
      <c r="G5" s="102">
        <v>4</v>
      </c>
    </row>
    <row r="6" spans="2:7" ht="12">
      <c r="B6" s="84" t="s">
        <v>176</v>
      </c>
      <c r="C6" s="81" t="s">
        <v>168</v>
      </c>
      <c r="D6" s="97">
        <f>(Баланс!D28+Баланс!D29+Баланс!D26)/(Баланс!D64-Баланс!D61-Баланс!D62-Баланс!D63)</f>
        <v>0.7536024736013068</v>
      </c>
      <c r="E6" s="103">
        <v>3</v>
      </c>
      <c r="F6" s="100">
        <f>(Баланс!E28+Баланс!E29+Баланс!E26)/(Баланс!E64-Баланс!E61-Баланс!E62-Баланс!E63)</f>
        <v>0.8849947796580676</v>
      </c>
      <c r="G6" s="103">
        <v>3</v>
      </c>
    </row>
    <row r="7" spans="2:7" ht="12">
      <c r="B7" s="84" t="s">
        <v>177</v>
      </c>
      <c r="C7" s="81" t="s">
        <v>169</v>
      </c>
      <c r="D7" s="97">
        <f>(Баланс!D31-Баланс!D24)/(Баланс!D52+Баланс!D53+Баланс!D63)</f>
        <v>1.0032295165309575</v>
      </c>
      <c r="E7" s="103">
        <v>1.5</v>
      </c>
      <c r="F7" s="100">
        <f>(Баланс!E31-Баланс!E24)/(Баланс!E52+Баланс!E53+Баланс!E63)</f>
        <v>1.1041240701265933</v>
      </c>
      <c r="G7" s="103">
        <v>3</v>
      </c>
    </row>
    <row r="8" spans="2:7" ht="12">
      <c r="B8" s="84" t="s">
        <v>178</v>
      </c>
      <c r="C8" s="81" t="s">
        <v>170</v>
      </c>
      <c r="D8" s="97">
        <f>Баланс!D45/Баланс!D65</f>
        <v>0.197612638970158</v>
      </c>
      <c r="E8" s="103">
        <v>1</v>
      </c>
      <c r="F8" s="100">
        <f>Баланс!E45/Баланс!E65</f>
        <v>0.19835045793972894</v>
      </c>
      <c r="G8" s="103">
        <v>1</v>
      </c>
    </row>
    <row r="9" spans="2:7" ht="36">
      <c r="B9" s="84" t="s">
        <v>179</v>
      </c>
      <c r="C9" s="81" t="s">
        <v>171</v>
      </c>
      <c r="D9" s="97">
        <f>(Баланс!D45-Баланс!D12)/Баланс!D31</f>
        <v>0.0032191203286410326</v>
      </c>
      <c r="E9" s="103">
        <v>3</v>
      </c>
      <c r="F9" s="100">
        <f>(Баланс!E45-Баланс!E12)/Баланс!E31</f>
        <v>0.09430468272886665</v>
      </c>
      <c r="G9" s="103">
        <v>3</v>
      </c>
    </row>
    <row r="10" spans="2:7" ht="24">
      <c r="B10" s="85" t="s">
        <v>180</v>
      </c>
      <c r="C10" s="82" t="s">
        <v>172</v>
      </c>
      <c r="D10" s="98">
        <f>(Баланс!D45-Баланс!D12)/(Баланс!D14+Баланс!D23)</f>
        <v>0.012937366452991452</v>
      </c>
      <c r="E10" s="104">
        <v>1</v>
      </c>
      <c r="F10" s="101">
        <f>(Баланс!E45-Баланс!E12)/(Баланс!E14+Баланс!E23)</f>
        <v>0.47517184902101894</v>
      </c>
      <c r="G10" s="104">
        <v>1</v>
      </c>
    </row>
    <row r="11" spans="2:7" s="105" customFormat="1" ht="12">
      <c r="B11" s="163" t="s">
        <v>220</v>
      </c>
      <c r="C11" s="164"/>
      <c r="D11" s="72" t="s">
        <v>221</v>
      </c>
      <c r="E11" s="106">
        <f>SUM(E5:E10)</f>
        <v>17.5</v>
      </c>
      <c r="F11" s="72" t="s">
        <v>221</v>
      </c>
      <c r="G11" s="106">
        <f>SUM(G5:G10)</f>
        <v>15</v>
      </c>
    </row>
    <row r="12" spans="2:3" ht="12">
      <c r="B12" s="71"/>
      <c r="C12" s="70"/>
    </row>
    <row r="13" spans="2:3" ht="12">
      <c r="B13" s="71"/>
      <c r="C13" s="70"/>
    </row>
    <row r="14" spans="2:8" ht="12">
      <c r="B14" s="161" t="s">
        <v>114</v>
      </c>
      <c r="C14" s="161" t="s">
        <v>115</v>
      </c>
      <c r="D14" s="162" t="s">
        <v>181</v>
      </c>
      <c r="E14" s="162"/>
      <c r="F14" s="162"/>
      <c r="G14" s="162"/>
      <c r="H14" s="162"/>
    </row>
    <row r="15" spans="2:8" ht="12">
      <c r="B15" s="161"/>
      <c r="C15" s="161"/>
      <c r="D15" s="86" t="s">
        <v>182</v>
      </c>
      <c r="E15" s="86" t="s">
        <v>183</v>
      </c>
      <c r="F15" s="86" t="s">
        <v>184</v>
      </c>
      <c r="G15" s="86" t="s">
        <v>185</v>
      </c>
      <c r="H15" s="86" t="s">
        <v>186</v>
      </c>
    </row>
    <row r="16" spans="2:8" ht="22.5">
      <c r="B16" s="83" t="s">
        <v>175</v>
      </c>
      <c r="C16" s="80" t="s">
        <v>167</v>
      </c>
      <c r="D16" s="87" t="s">
        <v>187</v>
      </c>
      <c r="E16" s="88" t="s">
        <v>188</v>
      </c>
      <c r="F16" s="88" t="s">
        <v>189</v>
      </c>
      <c r="G16" s="88" t="s">
        <v>190</v>
      </c>
      <c r="H16" s="89" t="s">
        <v>191</v>
      </c>
    </row>
    <row r="17" spans="2:8" ht="22.5">
      <c r="B17" s="84" t="s">
        <v>176</v>
      </c>
      <c r="C17" s="81" t="s">
        <v>168</v>
      </c>
      <c r="D17" s="90" t="s">
        <v>192</v>
      </c>
      <c r="E17" s="91" t="s">
        <v>193</v>
      </c>
      <c r="F17" s="91" t="s">
        <v>194</v>
      </c>
      <c r="G17" s="91" t="s">
        <v>195</v>
      </c>
      <c r="H17" s="92" t="s">
        <v>196</v>
      </c>
    </row>
    <row r="18" spans="2:8" ht="22.5">
      <c r="B18" s="84" t="s">
        <v>177</v>
      </c>
      <c r="C18" s="81" t="s">
        <v>169</v>
      </c>
      <c r="D18" s="90" t="s">
        <v>197</v>
      </c>
      <c r="E18" s="91" t="s">
        <v>198</v>
      </c>
      <c r="F18" s="91" t="s">
        <v>199</v>
      </c>
      <c r="G18" s="91" t="s">
        <v>200</v>
      </c>
      <c r="H18" s="92" t="s">
        <v>201</v>
      </c>
    </row>
    <row r="19" spans="2:8" ht="22.5">
      <c r="B19" s="84" t="s">
        <v>178</v>
      </c>
      <c r="C19" s="81" t="s">
        <v>170</v>
      </c>
      <c r="D19" s="90" t="s">
        <v>202</v>
      </c>
      <c r="E19" s="91" t="s">
        <v>203</v>
      </c>
      <c r="F19" s="91" t="s">
        <v>204</v>
      </c>
      <c r="G19" s="91" t="s">
        <v>205</v>
      </c>
      <c r="H19" s="92" t="s">
        <v>206</v>
      </c>
    </row>
    <row r="20" spans="2:8" ht="36">
      <c r="B20" s="84" t="s">
        <v>179</v>
      </c>
      <c r="C20" s="81" t="s">
        <v>171</v>
      </c>
      <c r="D20" s="90" t="s">
        <v>207</v>
      </c>
      <c r="E20" s="91" t="s">
        <v>208</v>
      </c>
      <c r="F20" s="91" t="s">
        <v>209</v>
      </c>
      <c r="G20" s="91" t="s">
        <v>210</v>
      </c>
      <c r="H20" s="92" t="s">
        <v>211</v>
      </c>
    </row>
    <row r="21" spans="2:8" ht="24">
      <c r="B21" s="85" t="s">
        <v>180</v>
      </c>
      <c r="C21" s="82" t="s">
        <v>172</v>
      </c>
      <c r="D21" s="93" t="s">
        <v>212</v>
      </c>
      <c r="E21" s="94" t="s">
        <v>213</v>
      </c>
      <c r="F21" s="94" t="s">
        <v>214</v>
      </c>
      <c r="G21" s="94" t="s">
        <v>215</v>
      </c>
      <c r="H21" s="95" t="s">
        <v>216</v>
      </c>
    </row>
    <row r="22" spans="2:8" ht="12">
      <c r="B22" s="85"/>
      <c r="C22" s="82" t="s">
        <v>217</v>
      </c>
      <c r="D22" s="93">
        <v>100</v>
      </c>
      <c r="E22" s="94" t="s">
        <v>229</v>
      </c>
      <c r="F22" s="94" t="s">
        <v>218</v>
      </c>
      <c r="G22" s="94" t="s">
        <v>219</v>
      </c>
      <c r="H22" s="95">
        <v>14</v>
      </c>
    </row>
    <row r="23" ht="12">
      <c r="C23" s="70"/>
    </row>
    <row r="24" spans="2:3" ht="12">
      <c r="B24" s="107" t="s">
        <v>227</v>
      </c>
      <c r="C24" s="70"/>
    </row>
    <row r="25" spans="3:8" ht="24" customHeight="1">
      <c r="C25" s="160" t="s">
        <v>222</v>
      </c>
      <c r="D25" s="160"/>
      <c r="E25" s="160"/>
      <c r="F25" s="160"/>
      <c r="G25" s="160"/>
      <c r="H25" s="160"/>
    </row>
    <row r="26" spans="3:8" ht="24" customHeight="1">
      <c r="C26" s="160" t="s">
        <v>223</v>
      </c>
      <c r="D26" s="160"/>
      <c r="E26" s="160"/>
      <c r="F26" s="160"/>
      <c r="G26" s="160"/>
      <c r="H26" s="160"/>
    </row>
    <row r="27" spans="3:8" ht="24" customHeight="1">
      <c r="C27" s="160" t="s">
        <v>224</v>
      </c>
      <c r="D27" s="160"/>
      <c r="E27" s="160"/>
      <c r="F27" s="160"/>
      <c r="G27" s="160"/>
      <c r="H27" s="160"/>
    </row>
    <row r="28" spans="3:8" ht="24" customHeight="1">
      <c r="C28" s="160" t="s">
        <v>225</v>
      </c>
      <c r="D28" s="160"/>
      <c r="E28" s="160"/>
      <c r="F28" s="160"/>
      <c r="G28" s="160"/>
      <c r="H28" s="160"/>
    </row>
    <row r="29" spans="3:8" ht="24" customHeight="1">
      <c r="C29" s="160" t="s">
        <v>226</v>
      </c>
      <c r="D29" s="160"/>
      <c r="E29" s="160"/>
      <c r="F29" s="160"/>
      <c r="G29" s="160"/>
      <c r="H29" s="160"/>
    </row>
  </sheetData>
  <mergeCells count="13">
    <mergeCell ref="B3:B4"/>
    <mergeCell ref="C3:C4"/>
    <mergeCell ref="D3:E3"/>
    <mergeCell ref="F3:G3"/>
    <mergeCell ref="B14:B15"/>
    <mergeCell ref="C14:C15"/>
    <mergeCell ref="D14:H14"/>
    <mergeCell ref="B11:C11"/>
    <mergeCell ref="C29:H29"/>
    <mergeCell ref="C25:H25"/>
    <mergeCell ref="C26:H26"/>
    <mergeCell ref="C27:H27"/>
    <mergeCell ref="C28:H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B1:H42"/>
  <sheetViews>
    <sheetView workbookViewId="0" topLeftCell="A1">
      <selection activeCell="D7" sqref="D7"/>
    </sheetView>
  </sheetViews>
  <sheetFormatPr defaultColWidth="9.00390625" defaultRowHeight="12.75"/>
  <cols>
    <col min="1" max="1" width="1.75390625" style="1" customWidth="1"/>
    <col min="2" max="2" width="4.75390625" style="1" customWidth="1"/>
    <col min="3" max="3" width="36.625" style="1" customWidth="1"/>
    <col min="4" max="8" width="12.75390625" style="1" customWidth="1"/>
    <col min="9" max="16384" width="9.125" style="1" customWidth="1"/>
  </cols>
  <sheetData>
    <row r="1" ht="14.25">
      <c r="B1" s="48" t="s">
        <v>228</v>
      </c>
    </row>
    <row r="2" s="110" customFormat="1" ht="12"/>
    <row r="3" s="110" customFormat="1" ht="12">
      <c r="B3" s="110" t="s">
        <v>273</v>
      </c>
    </row>
    <row r="4" spans="2:8" s="111" customFormat="1" ht="27" customHeight="1">
      <c r="B4" s="168" t="s">
        <v>114</v>
      </c>
      <c r="C4" s="170" t="s">
        <v>115</v>
      </c>
      <c r="D4" s="168" t="s">
        <v>166</v>
      </c>
      <c r="E4" s="168"/>
      <c r="F4" s="167" t="s">
        <v>233</v>
      </c>
      <c r="G4" s="168"/>
      <c r="H4" s="168"/>
    </row>
    <row r="5" spans="2:8" s="111" customFormat="1" ht="22.5">
      <c r="B5" s="168"/>
      <c r="C5" s="170"/>
      <c r="D5" s="108" t="s">
        <v>173</v>
      </c>
      <c r="E5" s="108" t="s">
        <v>174</v>
      </c>
      <c r="F5" s="109" t="s">
        <v>234</v>
      </c>
      <c r="G5" s="108" t="s">
        <v>235</v>
      </c>
      <c r="H5" s="108" t="s">
        <v>236</v>
      </c>
    </row>
    <row r="6" spans="2:8" s="110" customFormat="1" ht="12">
      <c r="B6" s="127" t="s">
        <v>175</v>
      </c>
      <c r="C6" s="122" t="s">
        <v>155</v>
      </c>
      <c r="D6" s="132">
        <f>(Баланс!D28+Баланс!D29)/(Баланс!D52+Баланс!D53+Баланс!D63)</f>
        <v>0.14023185845133224</v>
      </c>
      <c r="E6" s="133">
        <f>(Баланс!E28+Баланс!E29)/(Баланс!E52+Баланс!E53+Баланс!E63)</f>
        <v>0.022110323226171315</v>
      </c>
      <c r="F6" s="118" t="s">
        <v>237</v>
      </c>
      <c r="G6" s="112" t="s">
        <v>238</v>
      </c>
      <c r="H6" s="113" t="s">
        <v>239</v>
      </c>
    </row>
    <row r="7" spans="2:8" s="110" customFormat="1" ht="12">
      <c r="B7" s="128" t="s">
        <v>176</v>
      </c>
      <c r="C7" s="124" t="s">
        <v>156</v>
      </c>
      <c r="D7" s="134">
        <f>(Баланс!D31-Баланс!D24)/(Баланс!D52+Баланс!D53+Баланс!D63)</f>
        <v>1.0032295165309575</v>
      </c>
      <c r="E7" s="135">
        <f>(Баланс!E31-Баланс!E24)/(Баланс!E52+Баланс!E53+Баланс!E63)</f>
        <v>1.1041240701265933</v>
      </c>
      <c r="F7" s="119" t="s">
        <v>240</v>
      </c>
      <c r="G7" s="114" t="s">
        <v>241</v>
      </c>
      <c r="H7" s="115" t="s">
        <v>242</v>
      </c>
    </row>
    <row r="8" spans="2:8" s="110" customFormat="1" ht="24">
      <c r="B8" s="128" t="s">
        <v>177</v>
      </c>
      <c r="C8" s="124" t="s">
        <v>232</v>
      </c>
      <c r="D8" s="134">
        <f>Баланс!D31/Баланс!D64</f>
        <v>1.0032295165309575</v>
      </c>
      <c r="E8" s="135">
        <f>Баланс!E31/Баланс!E64</f>
        <v>1.1041240701265933</v>
      </c>
      <c r="F8" s="119" t="s">
        <v>243</v>
      </c>
      <c r="G8" s="114" t="s">
        <v>244</v>
      </c>
      <c r="H8" s="115" t="s">
        <v>242</v>
      </c>
    </row>
    <row r="9" spans="2:8" s="110" customFormat="1" ht="24">
      <c r="B9" s="128" t="s">
        <v>178</v>
      </c>
      <c r="C9" s="124" t="s">
        <v>267</v>
      </c>
      <c r="D9" s="134">
        <f>Баланс!D64/Баланс!$E$72*12</f>
        <v>5.3281082611277935</v>
      </c>
      <c r="E9" s="135">
        <f>Баланс!E64/Баланс!$E$72*12</f>
        <v>4.083016480070161</v>
      </c>
      <c r="F9" s="119" t="s">
        <v>245</v>
      </c>
      <c r="G9" s="114" t="s">
        <v>246</v>
      </c>
      <c r="H9" s="115" t="s">
        <v>247</v>
      </c>
    </row>
    <row r="10" spans="2:8" s="110" customFormat="1" ht="24">
      <c r="B10" s="128" t="s">
        <v>179</v>
      </c>
      <c r="C10" s="124" t="s">
        <v>268</v>
      </c>
      <c r="D10" s="134">
        <f>(Баланс!D45+Баланс!D61+Баланс!D62)/Баланс!D65</f>
        <v>0.197612638970158</v>
      </c>
      <c r="E10" s="135">
        <f>(Баланс!E45+Баланс!E61+Баланс!E62)/Баланс!E65</f>
        <v>0.19835045793972894</v>
      </c>
      <c r="F10" s="119" t="s">
        <v>248</v>
      </c>
      <c r="G10" s="114" t="s">
        <v>249</v>
      </c>
      <c r="H10" s="115" t="s">
        <v>250</v>
      </c>
    </row>
    <row r="11" spans="2:8" s="110" customFormat="1" ht="24">
      <c r="B11" s="128" t="s">
        <v>180</v>
      </c>
      <c r="C11" s="124" t="s">
        <v>231</v>
      </c>
      <c r="D11" s="134">
        <f>Баланс!D31/Баланс!$E$72</f>
        <v>0.4454429562363198</v>
      </c>
      <c r="E11" s="135">
        <f>Баланс!E31/Баланс!$E$72</f>
        <v>0.37567973119741854</v>
      </c>
      <c r="F11" s="119" t="s">
        <v>251</v>
      </c>
      <c r="G11" s="114" t="s">
        <v>252</v>
      </c>
      <c r="H11" s="115" t="s">
        <v>253</v>
      </c>
    </row>
    <row r="12" spans="2:8" s="110" customFormat="1" ht="24">
      <c r="B12" s="128" t="s">
        <v>263</v>
      </c>
      <c r="C12" s="124" t="s">
        <v>269</v>
      </c>
      <c r="D12" s="130">
        <v>0</v>
      </c>
      <c r="E12" s="131">
        <v>0</v>
      </c>
      <c r="F12" s="119">
        <v>0</v>
      </c>
      <c r="G12" s="114" t="s">
        <v>254</v>
      </c>
      <c r="H12" s="115" t="s">
        <v>255</v>
      </c>
    </row>
    <row r="13" spans="2:8" s="110" customFormat="1" ht="24">
      <c r="B13" s="128" t="s">
        <v>264</v>
      </c>
      <c r="C13" s="124" t="s">
        <v>270</v>
      </c>
      <c r="D13" s="134">
        <f>(Баланс!D26+Баланс!D24)/Баланс!D32</f>
        <v>0.49216082922343896</v>
      </c>
      <c r="E13" s="135">
        <f>(Баланс!E26+Баланс!E24)/Баланс!E32</f>
        <v>0.6917309293495556</v>
      </c>
      <c r="F13" s="119">
        <v>0</v>
      </c>
      <c r="G13" s="114" t="s">
        <v>256</v>
      </c>
      <c r="H13" s="115" t="s">
        <v>257</v>
      </c>
    </row>
    <row r="14" spans="2:8" s="110" customFormat="1" ht="12">
      <c r="B14" s="128" t="s">
        <v>265</v>
      </c>
      <c r="C14" s="124" t="s">
        <v>271</v>
      </c>
      <c r="D14" s="134">
        <f>Баланс!$E$86/(Баланс!D6+Баланс!D31)</f>
        <v>0.07721178802412197</v>
      </c>
      <c r="E14" s="135">
        <f>Баланс!$E$86/(Баланс!E6+Баланс!E31)</f>
        <v>0.08947770610083347</v>
      </c>
      <c r="F14" s="119" t="s">
        <v>258</v>
      </c>
      <c r="G14" s="114" t="s">
        <v>259</v>
      </c>
      <c r="H14" s="115" t="s">
        <v>260</v>
      </c>
    </row>
    <row r="15" spans="2:8" s="110" customFormat="1" ht="12">
      <c r="B15" s="129" t="s">
        <v>266</v>
      </c>
      <c r="C15" s="126" t="s">
        <v>272</v>
      </c>
      <c r="D15" s="136">
        <f>Баланс!E91/Баланс!E72</f>
        <v>0.023507274210827222</v>
      </c>
      <c r="E15" s="137">
        <f>D15</f>
        <v>0.023507274210827222</v>
      </c>
      <c r="F15" s="120" t="s">
        <v>261</v>
      </c>
      <c r="G15" s="116">
        <v>0.08</v>
      </c>
      <c r="H15" s="117" t="s">
        <v>262</v>
      </c>
    </row>
    <row r="16" s="110" customFormat="1" ht="12"/>
    <row r="17" s="110" customFormat="1" ht="12"/>
    <row r="18" s="110" customFormat="1" ht="12">
      <c r="B18" s="110" t="s">
        <v>274</v>
      </c>
    </row>
    <row r="19" spans="2:8" s="110" customFormat="1" ht="12">
      <c r="B19" s="168" t="s">
        <v>114</v>
      </c>
      <c r="C19" s="168" t="s">
        <v>115</v>
      </c>
      <c r="D19" s="169" t="s">
        <v>181</v>
      </c>
      <c r="E19" s="169"/>
      <c r="F19" s="169"/>
      <c r="G19" s="169"/>
      <c r="H19" s="169"/>
    </row>
    <row r="20" spans="2:8" s="110" customFormat="1" ht="12">
      <c r="B20" s="168"/>
      <c r="C20" s="168"/>
      <c r="D20" s="138" t="s">
        <v>275</v>
      </c>
      <c r="E20" s="138" t="s">
        <v>276</v>
      </c>
      <c r="F20" s="138" t="s">
        <v>277</v>
      </c>
      <c r="G20" s="138" t="s">
        <v>278</v>
      </c>
      <c r="H20" s="138" t="s">
        <v>279</v>
      </c>
    </row>
    <row r="21" spans="2:8" s="110" customFormat="1" ht="22.5">
      <c r="B21" s="139" t="s">
        <v>175</v>
      </c>
      <c r="C21" s="121" t="s">
        <v>280</v>
      </c>
      <c r="D21" s="118" t="s">
        <v>281</v>
      </c>
      <c r="E21" s="112" t="s">
        <v>282</v>
      </c>
      <c r="F21" s="112" t="s">
        <v>283</v>
      </c>
      <c r="G21" s="112" t="s">
        <v>284</v>
      </c>
      <c r="H21" s="113" t="s">
        <v>285</v>
      </c>
    </row>
    <row r="22" spans="2:8" s="110" customFormat="1" ht="22.5">
      <c r="B22" s="140" t="s">
        <v>176</v>
      </c>
      <c r="C22" s="123" t="s">
        <v>156</v>
      </c>
      <c r="D22" s="119" t="s">
        <v>286</v>
      </c>
      <c r="E22" s="114" t="s">
        <v>287</v>
      </c>
      <c r="F22" s="114" t="s">
        <v>288</v>
      </c>
      <c r="G22" s="114" t="s">
        <v>289</v>
      </c>
      <c r="H22" s="115" t="s">
        <v>290</v>
      </c>
    </row>
    <row r="23" spans="2:8" s="110" customFormat="1" ht="22.5">
      <c r="B23" s="140" t="s">
        <v>177</v>
      </c>
      <c r="C23" s="123" t="s">
        <v>230</v>
      </c>
      <c r="D23" s="119" t="s">
        <v>291</v>
      </c>
      <c r="E23" s="114" t="s">
        <v>292</v>
      </c>
      <c r="F23" s="114" t="s">
        <v>293</v>
      </c>
      <c r="G23" s="114" t="s">
        <v>294</v>
      </c>
      <c r="H23" s="115" t="s">
        <v>295</v>
      </c>
    </row>
    <row r="24" spans="2:8" s="110" customFormat="1" ht="12">
      <c r="B24" s="141" t="s">
        <v>178</v>
      </c>
      <c r="C24" s="125" t="s">
        <v>296</v>
      </c>
      <c r="D24" s="120" t="s">
        <v>297</v>
      </c>
      <c r="E24" s="116" t="s">
        <v>298</v>
      </c>
      <c r="F24" s="116" t="s">
        <v>299</v>
      </c>
      <c r="G24" s="116" t="s">
        <v>300</v>
      </c>
      <c r="H24" s="117" t="s">
        <v>301</v>
      </c>
    </row>
    <row r="25" s="110" customFormat="1" ht="12"/>
    <row r="26" s="110" customFormat="1" ht="12"/>
    <row r="27" s="110" customFormat="1" ht="12">
      <c r="B27" s="107" t="s">
        <v>227</v>
      </c>
    </row>
    <row r="28" s="110" customFormat="1" ht="12">
      <c r="C28" s="142" t="s">
        <v>302</v>
      </c>
    </row>
    <row r="29" s="110" customFormat="1" ht="12">
      <c r="C29" s="142" t="s">
        <v>303</v>
      </c>
    </row>
    <row r="30" s="110" customFormat="1" ht="12">
      <c r="C30" s="142" t="s">
        <v>304</v>
      </c>
    </row>
    <row r="31" s="110" customFormat="1" ht="12">
      <c r="C31" s="142" t="s">
        <v>305</v>
      </c>
    </row>
    <row r="32" s="110" customFormat="1" ht="12">
      <c r="C32" s="142" t="s">
        <v>306</v>
      </c>
    </row>
    <row r="33" s="110" customFormat="1" ht="12"/>
    <row r="35" ht="12.75">
      <c r="B35" s="144" t="s">
        <v>312</v>
      </c>
    </row>
    <row r="36" spans="2:7" s="68" customFormat="1" ht="12">
      <c r="B36" s="161" t="s">
        <v>114</v>
      </c>
      <c r="C36" s="161" t="s">
        <v>115</v>
      </c>
      <c r="D36" s="161" t="s">
        <v>173</v>
      </c>
      <c r="E36" s="161"/>
      <c r="F36" s="166" t="s">
        <v>174</v>
      </c>
      <c r="G36" s="161"/>
    </row>
    <row r="37" spans="2:7" s="68" customFormat="1" ht="12">
      <c r="B37" s="161"/>
      <c r="C37" s="161"/>
      <c r="D37" s="69" t="s">
        <v>307</v>
      </c>
      <c r="E37" s="69" t="s">
        <v>308</v>
      </c>
      <c r="F37" s="78" t="s">
        <v>307</v>
      </c>
      <c r="G37" s="69" t="s">
        <v>308</v>
      </c>
    </row>
    <row r="38" spans="2:7" ht="12">
      <c r="B38" s="143" t="s">
        <v>175</v>
      </c>
      <c r="C38" s="73" t="s">
        <v>280</v>
      </c>
      <c r="D38" s="96">
        <f>Баланс!$E$91/Баланс!D32</f>
        <v>0.04248098303101229</v>
      </c>
      <c r="E38" s="102">
        <v>0</v>
      </c>
      <c r="F38" s="99">
        <f>Баланс!$E$91/Баланс!E32</f>
        <v>0.05538433370968234</v>
      </c>
      <c r="G38" s="102"/>
    </row>
    <row r="39" spans="2:7" ht="12">
      <c r="B39" s="75" t="s">
        <v>176</v>
      </c>
      <c r="C39" s="74" t="s">
        <v>156</v>
      </c>
      <c r="D39" s="97">
        <f>D7</f>
        <v>1.0032295165309575</v>
      </c>
      <c r="E39" s="103">
        <v>0</v>
      </c>
      <c r="F39" s="100">
        <f>E7</f>
        <v>1.1041240701265933</v>
      </c>
      <c r="G39" s="103">
        <v>9.9</v>
      </c>
    </row>
    <row r="40" spans="2:7" ht="24">
      <c r="B40" s="76" t="s">
        <v>177</v>
      </c>
      <c r="C40" s="145" t="s">
        <v>309</v>
      </c>
      <c r="D40" s="149">
        <f>D10</f>
        <v>0.197612638970158</v>
      </c>
      <c r="E40" s="151">
        <v>1</v>
      </c>
      <c r="F40" s="150">
        <f>E10</f>
        <v>0.19835045793972894</v>
      </c>
      <c r="G40" s="151">
        <v>1</v>
      </c>
    </row>
    <row r="41" spans="2:7" s="105" customFormat="1" ht="12">
      <c r="B41" s="146"/>
      <c r="C41" s="147" t="s">
        <v>310</v>
      </c>
      <c r="D41" s="148" t="s">
        <v>221</v>
      </c>
      <c r="E41" s="152">
        <f>SUM(E38:E40)</f>
        <v>1</v>
      </c>
      <c r="F41" s="148" t="s">
        <v>221</v>
      </c>
      <c r="G41" s="152">
        <f>SUM(G38:G40)</f>
        <v>10.9</v>
      </c>
    </row>
    <row r="42" spans="2:7" ht="24" customHeight="1">
      <c r="B42" s="153"/>
      <c r="C42" s="154" t="s">
        <v>311</v>
      </c>
      <c r="D42" s="155" t="s">
        <v>221</v>
      </c>
      <c r="E42" s="155" t="s">
        <v>313</v>
      </c>
      <c r="F42" s="155" t="s">
        <v>221</v>
      </c>
      <c r="G42" s="155" t="s">
        <v>313</v>
      </c>
    </row>
    <row r="47" s="110" customFormat="1" ht="12"/>
    <row r="48" s="110" customFormat="1" ht="12"/>
    <row r="49" s="110" customFormat="1" ht="12"/>
    <row r="50" s="110" customFormat="1" ht="12"/>
    <row r="51" s="110" customFormat="1" ht="12"/>
    <row r="52" s="110" customFormat="1" ht="12"/>
    <row r="53" s="110" customFormat="1" ht="12"/>
    <row r="54" s="110" customFormat="1" ht="12"/>
    <row r="55" s="110" customFormat="1" ht="12"/>
    <row r="56" s="110" customFormat="1" ht="12"/>
    <row r="57" s="110" customFormat="1" ht="12"/>
    <row r="58" s="110" customFormat="1" ht="12"/>
    <row r="59" s="110" customFormat="1" ht="12"/>
    <row r="60" s="110" customFormat="1" ht="12"/>
    <row r="61" s="110" customFormat="1" ht="12"/>
    <row r="62" s="110" customFormat="1" ht="12"/>
    <row r="63" s="110" customFormat="1" ht="12"/>
    <row r="64" s="110" customFormat="1" ht="12"/>
    <row r="65" s="110" customFormat="1" ht="12"/>
    <row r="66" s="110" customFormat="1" ht="12"/>
    <row r="67" s="110" customFormat="1" ht="12"/>
    <row r="68" s="110" customFormat="1" ht="12"/>
    <row r="69" s="110" customFormat="1" ht="12"/>
    <row r="70" s="110" customFormat="1" ht="12"/>
    <row r="71" s="110" customFormat="1" ht="12"/>
    <row r="72" s="110" customFormat="1" ht="12"/>
    <row r="73" s="110" customFormat="1" ht="12"/>
    <row r="74" s="110" customFormat="1" ht="12"/>
    <row r="75" s="110" customFormat="1" ht="12"/>
    <row r="76" s="110" customFormat="1" ht="12"/>
    <row r="77" s="110" customFormat="1" ht="12"/>
    <row r="78" s="110" customFormat="1" ht="12"/>
    <row r="79" s="110" customFormat="1" ht="12"/>
    <row r="80" s="110" customFormat="1" ht="12"/>
    <row r="81" s="110" customFormat="1" ht="12"/>
    <row r="82" s="110" customFormat="1" ht="12"/>
    <row r="83" s="110" customFormat="1" ht="12"/>
    <row r="84" s="110" customFormat="1" ht="12"/>
    <row r="85" s="110" customFormat="1" ht="12"/>
    <row r="86" s="110" customFormat="1" ht="12"/>
    <row r="87" s="110" customFormat="1" ht="12"/>
  </sheetData>
  <mergeCells count="11">
    <mergeCell ref="F36:G36"/>
    <mergeCell ref="B4:B5"/>
    <mergeCell ref="C4:C5"/>
    <mergeCell ref="B19:B20"/>
    <mergeCell ref="B36:B37"/>
    <mergeCell ref="C36:C37"/>
    <mergeCell ref="D36:E36"/>
    <mergeCell ref="F4:H4"/>
    <mergeCell ref="D4:E4"/>
    <mergeCell ref="C19:C20"/>
    <mergeCell ref="D19:H19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1"/>
  <sheetViews>
    <sheetView tabSelected="1" workbookViewId="0" topLeftCell="A1">
      <selection activeCell="C42" sqref="C42"/>
    </sheetView>
  </sheetViews>
  <sheetFormatPr defaultColWidth="9.00390625" defaultRowHeight="12.75"/>
  <cols>
    <col min="1" max="1" width="1.75390625" style="0" customWidth="1"/>
    <col min="2" max="2" width="4.75390625" style="0" customWidth="1"/>
    <col min="3" max="3" width="44.375" style="0" customWidth="1"/>
    <col min="4" max="6" width="12.75390625" style="0" customWidth="1"/>
  </cols>
  <sheetData>
    <row r="1" ht="14.25">
      <c r="B1" s="156" t="s">
        <v>314</v>
      </c>
    </row>
    <row r="3" spans="2:11" ht="12.75">
      <c r="B3" s="168" t="s">
        <v>114</v>
      </c>
      <c r="C3" s="170" t="s">
        <v>115</v>
      </c>
      <c r="D3" s="168" t="s">
        <v>166</v>
      </c>
      <c r="E3" s="168"/>
      <c r="F3" s="170" t="s">
        <v>322</v>
      </c>
      <c r="G3" s="169" t="s">
        <v>181</v>
      </c>
      <c r="H3" s="169"/>
      <c r="I3" s="169"/>
      <c r="J3" s="169"/>
      <c r="K3" s="171"/>
    </row>
    <row r="4" spans="2:10" ht="33.75">
      <c r="B4" s="168"/>
      <c r="C4" s="170"/>
      <c r="D4" s="108" t="s">
        <v>173</v>
      </c>
      <c r="E4" s="108" t="s">
        <v>174</v>
      </c>
      <c r="F4" s="170"/>
      <c r="G4" s="108" t="s">
        <v>327</v>
      </c>
      <c r="H4" s="108" t="s">
        <v>328</v>
      </c>
      <c r="I4" s="108" t="s">
        <v>329</v>
      </c>
      <c r="J4" s="108" t="s">
        <v>330</v>
      </c>
    </row>
    <row r="5" spans="2:10" s="1" customFormat="1" ht="12">
      <c r="B5" s="180" t="s">
        <v>175</v>
      </c>
      <c r="C5" s="177" t="s">
        <v>318</v>
      </c>
      <c r="D5" s="202">
        <f>SUM(D7,D9,D11)/3</f>
        <v>0</v>
      </c>
      <c r="E5" s="203">
        <f>SUM(E7,E9,E11)/3</f>
        <v>0</v>
      </c>
      <c r="F5" s="204">
        <f>E5-D5</f>
        <v>0</v>
      </c>
      <c r="G5" s="263"/>
      <c r="H5" s="264"/>
      <c r="I5" s="264"/>
      <c r="J5" s="265"/>
    </row>
    <row r="6" spans="2:10" s="194" customFormat="1" ht="12">
      <c r="B6" s="183" t="s">
        <v>158</v>
      </c>
      <c r="C6" s="184" t="s">
        <v>319</v>
      </c>
      <c r="D6" s="185">
        <f>(Баланс!D45+Баланс!D61+Баланс!D62)/Баланс!D65</f>
        <v>0.197612638970158</v>
      </c>
      <c r="E6" s="186">
        <f>(Баланс!E45+Баланс!E61+Баланс!E62)/Баланс!E65</f>
        <v>0.19835045793972894</v>
      </c>
      <c r="F6" s="187">
        <f>E6-D6</f>
        <v>0.0007378189695709525</v>
      </c>
      <c r="G6" s="266" t="s">
        <v>334</v>
      </c>
      <c r="H6" s="267" t="s">
        <v>335</v>
      </c>
      <c r="I6" s="267" t="s">
        <v>336</v>
      </c>
      <c r="J6" s="268" t="s">
        <v>323</v>
      </c>
    </row>
    <row r="7" spans="2:10" s="193" customFormat="1" ht="12">
      <c r="B7" s="191"/>
      <c r="C7" s="189" t="s">
        <v>389</v>
      </c>
      <c r="D7" s="198">
        <f>IF(D6&lt;0.5,0,IF(D6&lt;0.65,1,IF(D6&lt;0.8,3,5)))</f>
        <v>0</v>
      </c>
      <c r="E7" s="199">
        <f>IF(E6&lt;0.5,0,IF(E6&lt;0.65,1,IF(E6&lt;0.8,3,5)))</f>
        <v>0</v>
      </c>
      <c r="F7" s="192"/>
      <c r="G7" s="269"/>
      <c r="H7" s="270"/>
      <c r="I7" s="270"/>
      <c r="J7" s="271"/>
    </row>
    <row r="8" spans="2:10" s="194" customFormat="1" ht="24">
      <c r="B8" s="181" t="s">
        <v>159</v>
      </c>
      <c r="C8" s="178" t="s">
        <v>320</v>
      </c>
      <c r="D8" s="176">
        <f>(Баланс!D64+Баланс!D50)/(Баланс!D45)</f>
        <v>4.0604050692881675</v>
      </c>
      <c r="E8" s="173">
        <f>(Баланс!E64+Баланс!E50)/(Баланс!E45)</f>
        <v>4.041581503703215</v>
      </c>
      <c r="F8" s="175">
        <f>E8-D8</f>
        <v>-0.018823565584952462</v>
      </c>
      <c r="G8" s="272" t="s">
        <v>323</v>
      </c>
      <c r="H8" s="273" t="s">
        <v>324</v>
      </c>
      <c r="I8" s="273" t="s">
        <v>325</v>
      </c>
      <c r="J8" s="274" t="s">
        <v>326</v>
      </c>
    </row>
    <row r="9" spans="2:10" s="193" customFormat="1" ht="12">
      <c r="B9" s="191"/>
      <c r="C9" s="189" t="s">
        <v>389</v>
      </c>
      <c r="D9" s="198">
        <f>IF(D8&gt;0.8,0,IF(D8&gt;0.5,1,IF(D8&gt;0.2,3,5)))</f>
        <v>0</v>
      </c>
      <c r="E9" s="199">
        <f>IF(E8&gt;0.8,0,IF(E8&gt;0.5,1,IF(E8&gt;0.2,3,5)))</f>
        <v>0</v>
      </c>
      <c r="F9" s="192"/>
      <c r="G9" s="269"/>
      <c r="H9" s="270"/>
      <c r="I9" s="270"/>
      <c r="J9" s="271"/>
    </row>
    <row r="10" spans="2:10" s="194" customFormat="1" ht="12">
      <c r="B10" s="181" t="s">
        <v>160</v>
      </c>
      <c r="C10" s="178" t="s">
        <v>321</v>
      </c>
      <c r="D10" s="176">
        <f>(Баланс!D24+Баланс!D26)/Баланс!$E$72</f>
        <v>0.27234208680946803</v>
      </c>
      <c r="E10" s="173">
        <f>(Баланс!E24+Баланс!E26)/Баланс!$E$72</f>
        <v>0.2935976213339846</v>
      </c>
      <c r="F10" s="175">
        <f>E10-D10</f>
        <v>0.02125553452451656</v>
      </c>
      <c r="G10" s="272" t="s">
        <v>337</v>
      </c>
      <c r="H10" s="273" t="s">
        <v>338</v>
      </c>
      <c r="I10" s="273" t="s">
        <v>339</v>
      </c>
      <c r="J10" s="274" t="s">
        <v>340</v>
      </c>
    </row>
    <row r="11" spans="2:10" s="193" customFormat="1" ht="12">
      <c r="B11" s="188"/>
      <c r="C11" s="189" t="s">
        <v>389</v>
      </c>
      <c r="D11" s="200">
        <f>IF(D10&gt;0.15,0,IF(D10&gt;0.1,1,IF(D10&gt;0.05,3,5)))</f>
        <v>0</v>
      </c>
      <c r="E11" s="201">
        <f>IF(E10&gt;0.15,0,IF(E10&gt;0.1,1,IF(E10&gt;0.05,3,5)))</f>
        <v>0</v>
      </c>
      <c r="F11" s="190"/>
      <c r="G11" s="275"/>
      <c r="H11" s="276"/>
      <c r="I11" s="276"/>
      <c r="J11" s="277"/>
    </row>
    <row r="12" spans="2:10" s="1" customFormat="1" ht="12">
      <c r="B12" s="180" t="s">
        <v>176</v>
      </c>
      <c r="C12" s="177" t="s">
        <v>331</v>
      </c>
      <c r="D12" s="202">
        <f>SUM(D14,D16,D18)/3</f>
        <v>0.3333333333333333</v>
      </c>
      <c r="E12" s="203">
        <f>SUM(E14,E16,E18)/3</f>
        <v>1</v>
      </c>
      <c r="F12" s="204">
        <f>E12-D12</f>
        <v>0.6666666666666667</v>
      </c>
      <c r="G12" s="263"/>
      <c r="H12" s="264"/>
      <c r="I12" s="264"/>
      <c r="J12" s="265"/>
    </row>
    <row r="13" spans="2:10" s="194" customFormat="1" ht="12">
      <c r="B13" s="183" t="s">
        <v>161</v>
      </c>
      <c r="C13" s="184" t="s">
        <v>155</v>
      </c>
      <c r="D13" s="185">
        <f>(Баланс!D28+Баланс!D29)/(Баланс!D52+Баланс!D53+Баланс!D63)</f>
        <v>0.14023185845133224</v>
      </c>
      <c r="E13" s="186">
        <f>(Баланс!E28+Баланс!E29)/(Баланс!E52+Баланс!E53+Баланс!E63)</f>
        <v>0.022110323226171315</v>
      </c>
      <c r="F13" s="187">
        <f>E13-D13</f>
        <v>-0.11812153522516092</v>
      </c>
      <c r="G13" s="266" t="s">
        <v>326</v>
      </c>
      <c r="H13" s="267" t="s">
        <v>341</v>
      </c>
      <c r="I13" s="267" t="s">
        <v>342</v>
      </c>
      <c r="J13" s="268" t="s">
        <v>343</v>
      </c>
    </row>
    <row r="14" spans="2:10" s="193" customFormat="1" ht="12">
      <c r="B14" s="191"/>
      <c r="C14" s="189" t="s">
        <v>389</v>
      </c>
      <c r="D14" s="198">
        <f>IF(D13&lt;0.2,0,IF(D13&lt;0.3,1,IF(D13&lt;0.4,3,5)))</f>
        <v>0</v>
      </c>
      <c r="E14" s="199">
        <f>IF(E13&lt;0.2,0,IF(E13&lt;0.3,1,IF(E13&lt;0.4,3,5)))</f>
        <v>0</v>
      </c>
      <c r="F14" s="192"/>
      <c r="G14" s="269"/>
      <c r="H14" s="270"/>
      <c r="I14" s="270"/>
      <c r="J14" s="271"/>
    </row>
    <row r="15" spans="2:10" s="194" customFormat="1" ht="12">
      <c r="B15" s="181" t="s">
        <v>162</v>
      </c>
      <c r="C15" s="178" t="s">
        <v>332</v>
      </c>
      <c r="D15" s="176">
        <f>(Баланс!D24+Баланс!D26+Баланс!D28+Баланс!D29)/(Баланс!D52+Баланс!D53)</f>
        <v>0.7536024736013068</v>
      </c>
      <c r="E15" s="173">
        <f>(Баланс!E24+Баланс!E26+Баланс!E28+Баланс!E29)/(Баланс!E52+Баланс!E53)</f>
        <v>0.8849947796580676</v>
      </c>
      <c r="F15" s="175">
        <f>E15-D15</f>
        <v>0.13139230605676078</v>
      </c>
      <c r="G15" s="272" t="s">
        <v>344</v>
      </c>
      <c r="H15" s="273" t="s">
        <v>345</v>
      </c>
      <c r="I15" s="273" t="s">
        <v>346</v>
      </c>
      <c r="J15" s="274" t="s">
        <v>347</v>
      </c>
    </row>
    <row r="16" spans="2:10" s="193" customFormat="1" ht="12">
      <c r="B16" s="191"/>
      <c r="C16" s="189" t="s">
        <v>389</v>
      </c>
      <c r="D16" s="198">
        <f>IF(D15&lt;0.7,0,IF(D15&lt;0.85,1,IF(D15&lt;1,3,5)))</f>
        <v>1</v>
      </c>
      <c r="E16" s="199">
        <f>IF(E15&lt;0.7,0,IF(E15&lt;0.85,1,IF(E15&lt;1,3,5)))</f>
        <v>3</v>
      </c>
      <c r="F16" s="192"/>
      <c r="G16" s="269"/>
      <c r="H16" s="270"/>
      <c r="I16" s="270"/>
      <c r="J16" s="271"/>
    </row>
    <row r="17" spans="2:10" s="194" customFormat="1" ht="24">
      <c r="B17" s="181" t="s">
        <v>163</v>
      </c>
      <c r="C17" s="178" t="s">
        <v>333</v>
      </c>
      <c r="D17" s="176">
        <f>(Баланс!D14+Баланс!D23)/(Баланс!D52+Баланс!D53)</f>
        <v>0.2496270429296507</v>
      </c>
      <c r="E17" s="173">
        <f>(Баланс!E14+Баланс!E23)/(Баланс!E52+Баланс!E53)</f>
        <v>0.2191292904685257</v>
      </c>
      <c r="F17" s="175">
        <f>E17-D17</f>
        <v>-0.030497752461125016</v>
      </c>
      <c r="G17" s="272" t="s">
        <v>348</v>
      </c>
      <c r="H17" s="273" t="s">
        <v>349</v>
      </c>
      <c r="I17" s="273" t="s">
        <v>350</v>
      </c>
      <c r="J17" s="274" t="s">
        <v>351</v>
      </c>
    </row>
    <row r="18" spans="2:10" s="193" customFormat="1" ht="12">
      <c r="B18" s="188"/>
      <c r="C18" s="189" t="s">
        <v>389</v>
      </c>
      <c r="D18" s="200">
        <f>IF(D17&lt;0.4,0,IF(D17&lt;0.6,1,IF(D17&lt;0.8,3,5)))</f>
        <v>0</v>
      </c>
      <c r="E18" s="201">
        <f>IF(E17&lt;0.4,0,IF(E17&lt;0.6,1,IF(E17&lt;0.8,3,5)))</f>
        <v>0</v>
      </c>
      <c r="F18" s="190"/>
      <c r="G18" s="269"/>
      <c r="H18" s="270"/>
      <c r="I18" s="270"/>
      <c r="J18" s="271"/>
    </row>
    <row r="19" spans="2:10" s="1" customFormat="1" ht="12">
      <c r="B19" s="180" t="s">
        <v>177</v>
      </c>
      <c r="C19" s="177" t="s">
        <v>352</v>
      </c>
      <c r="D19" s="202">
        <f>SUM(D21,D23,D25)/3</f>
        <v>5</v>
      </c>
      <c r="E19" s="203">
        <f>SUM(E21,E23,E25)/3</f>
        <v>5</v>
      </c>
      <c r="F19" s="204">
        <f>E19-D19</f>
        <v>0</v>
      </c>
      <c r="G19" s="263"/>
      <c r="H19" s="264"/>
      <c r="I19" s="264"/>
      <c r="J19" s="265"/>
    </row>
    <row r="20" spans="2:10" s="194" customFormat="1" ht="12">
      <c r="B20" s="183" t="s">
        <v>353</v>
      </c>
      <c r="C20" s="184" t="s">
        <v>356</v>
      </c>
      <c r="D20" s="185">
        <f>Баланс!$E$72/Баланс!D65</f>
        <v>1.8071420212321323</v>
      </c>
      <c r="E20" s="186">
        <f>Баланс!$E$72/Баланс!E65</f>
        <v>2.3560508637863617</v>
      </c>
      <c r="F20" s="187">
        <f>E20-D20</f>
        <v>0.5489088425542294</v>
      </c>
      <c r="G20" s="266" t="s">
        <v>348</v>
      </c>
      <c r="H20" s="267" t="s">
        <v>349</v>
      </c>
      <c r="I20" s="267" t="s">
        <v>350</v>
      </c>
      <c r="J20" s="268" t="s">
        <v>323</v>
      </c>
    </row>
    <row r="21" spans="2:10" s="193" customFormat="1" ht="12">
      <c r="B21" s="191"/>
      <c r="C21" s="189" t="s">
        <v>389</v>
      </c>
      <c r="D21" s="198">
        <f>IF(D20&lt;0.4,0,IF(D20&lt;0.6,1,IF(D20&lt;0.8,3,5)))</f>
        <v>5</v>
      </c>
      <c r="E21" s="199">
        <f>IF(E20&lt;0.4,0,IF(E20&lt;0.6,1,IF(E20&lt;0.8,3,5)))</f>
        <v>5</v>
      </c>
      <c r="F21" s="192"/>
      <c r="G21" s="269"/>
      <c r="H21" s="270"/>
      <c r="I21" s="270"/>
      <c r="J21" s="271"/>
    </row>
    <row r="22" spans="2:10" s="194" customFormat="1" ht="12">
      <c r="B22" s="181" t="s">
        <v>354</v>
      </c>
      <c r="C22" s="178" t="s">
        <v>357</v>
      </c>
      <c r="D22" s="176">
        <f>Баланс!$E$73/Баланс!D14</f>
        <v>14.174124021315233</v>
      </c>
      <c r="E22" s="173">
        <f>Баланс!$E$73/Баланс!E14</f>
        <v>28.630366806975346</v>
      </c>
      <c r="F22" s="175">
        <f>E22-D22</f>
        <v>14.456242785660113</v>
      </c>
      <c r="G22" s="272" t="s">
        <v>359</v>
      </c>
      <c r="H22" s="273" t="s">
        <v>360</v>
      </c>
      <c r="I22" s="273" t="s">
        <v>361</v>
      </c>
      <c r="J22" s="274" t="s">
        <v>362</v>
      </c>
    </row>
    <row r="23" spans="2:10" s="193" customFormat="1" ht="12">
      <c r="B23" s="191"/>
      <c r="C23" s="189" t="s">
        <v>389</v>
      </c>
      <c r="D23" s="198">
        <f>IF(D22&lt;2,0,IF(D22&lt;3,1,IF(D22&lt;4,3,5)))</f>
        <v>5</v>
      </c>
      <c r="E23" s="199">
        <f>IF(E22&lt;2,0,IF(E22&lt;3,1,IF(E22&lt;4,3,5)))</f>
        <v>5</v>
      </c>
      <c r="F23" s="192"/>
      <c r="G23" s="269"/>
      <c r="H23" s="270"/>
      <c r="I23" s="270"/>
      <c r="J23" s="271"/>
    </row>
    <row r="24" spans="2:10" s="194" customFormat="1" ht="24">
      <c r="B24" s="181" t="s">
        <v>355</v>
      </c>
      <c r="C24" s="178" t="s">
        <v>358</v>
      </c>
      <c r="D24" s="176">
        <f>Баланс!$E$72/Баланс!D45</f>
        <v>9.144870645166748</v>
      </c>
      <c r="E24" s="173">
        <f>Баланс!$E$72/Баланс!E45</f>
        <v>11.878222456649304</v>
      </c>
      <c r="F24" s="175">
        <f>E24-D24</f>
        <v>2.7333518114825566</v>
      </c>
      <c r="G24" s="272" t="s">
        <v>363</v>
      </c>
      <c r="H24" s="273" t="s">
        <v>364</v>
      </c>
      <c r="I24" s="273" t="s">
        <v>365</v>
      </c>
      <c r="J24" s="274" t="s">
        <v>347</v>
      </c>
    </row>
    <row r="25" spans="2:10" s="193" customFormat="1" ht="12">
      <c r="B25" s="188"/>
      <c r="C25" s="189" t="s">
        <v>389</v>
      </c>
      <c r="D25" s="200">
        <f>IF(D24&lt;0.8,0,IF(D24&lt;0.9,1,IF(D24&lt;1,3,5)))</f>
        <v>5</v>
      </c>
      <c r="E25" s="201">
        <f>IF(E24&lt;0.8,0,IF(E24&lt;0.9,1,IF(E24&lt;1,3,5)))</f>
        <v>5</v>
      </c>
      <c r="F25" s="190"/>
      <c r="G25" s="269"/>
      <c r="H25" s="270"/>
      <c r="I25" s="270"/>
      <c r="J25" s="271"/>
    </row>
    <row r="26" spans="2:17" s="1" customFormat="1" ht="12">
      <c r="B26" s="157" t="s">
        <v>178</v>
      </c>
      <c r="C26" s="174" t="s">
        <v>385</v>
      </c>
      <c r="D26" s="202">
        <f>SUM(D28,D30,D32)/3</f>
        <v>1.6666666666666667</v>
      </c>
      <c r="E26" s="203">
        <f>SUM(E28,E30,E32)/3</f>
        <v>2</v>
      </c>
      <c r="F26" s="204">
        <f>E26-D26</f>
        <v>0.33333333333333326</v>
      </c>
      <c r="G26" s="263"/>
      <c r="H26" s="264"/>
      <c r="I26" s="264"/>
      <c r="J26" s="265"/>
      <c r="M26" s="195"/>
      <c r="N26" s="196"/>
      <c r="O26" s="196"/>
      <c r="P26" s="196"/>
      <c r="Q26" s="195"/>
    </row>
    <row r="27" spans="2:17" s="194" customFormat="1" ht="12">
      <c r="B27" s="183" t="s">
        <v>386</v>
      </c>
      <c r="C27" s="184" t="s">
        <v>156</v>
      </c>
      <c r="D27" s="185">
        <f>(Баланс!D31-Баланс!D24)/(Баланс!D52+Баланс!D53+Баланс!D63)</f>
        <v>1.0032295165309575</v>
      </c>
      <c r="E27" s="186">
        <f>(Баланс!E31-Баланс!E24)/(Баланс!E52+Баланс!E53+Баланс!E63)</f>
        <v>1.1041240701265933</v>
      </c>
      <c r="F27" s="187">
        <f>E27-D27</f>
        <v>0.10089455359563582</v>
      </c>
      <c r="G27" s="266" t="s">
        <v>366</v>
      </c>
      <c r="H27" s="267" t="s">
        <v>367</v>
      </c>
      <c r="I27" s="267" t="s">
        <v>368</v>
      </c>
      <c r="J27" s="268" t="s">
        <v>369</v>
      </c>
      <c r="M27" s="197"/>
      <c r="N27" s="196"/>
      <c r="O27" s="196"/>
      <c r="P27" s="196"/>
      <c r="Q27" s="197"/>
    </row>
    <row r="28" spans="2:17" s="193" customFormat="1" ht="12">
      <c r="B28" s="191"/>
      <c r="C28" s="189" t="s">
        <v>389</v>
      </c>
      <c r="D28" s="198">
        <f>IF(D27&lt;1.2,0,IF(D27&lt;1.5,1,IF(D27&lt;1.8,3,5)))</f>
        <v>0</v>
      </c>
      <c r="E28" s="199">
        <f>IF(E27&lt;1.2,0,IF(E27&lt;1.5,1,IF(E27&lt;1.8,3,5)))</f>
        <v>0</v>
      </c>
      <c r="F28" s="192"/>
      <c r="G28" s="278"/>
      <c r="H28" s="279"/>
      <c r="I28" s="279"/>
      <c r="J28" s="280"/>
      <c r="M28" s="244"/>
      <c r="N28" s="245"/>
      <c r="O28" s="245"/>
      <c r="P28" s="245"/>
      <c r="Q28" s="244"/>
    </row>
    <row r="29" spans="2:17" s="194" customFormat="1" ht="24">
      <c r="B29" s="181" t="s">
        <v>387</v>
      </c>
      <c r="C29" s="178" t="s">
        <v>390</v>
      </c>
      <c r="D29" s="176">
        <f>(Баланс!D45-Баланс!D12)/Баланс!D31</f>
        <v>0.0032191203286410326</v>
      </c>
      <c r="E29" s="173">
        <f>(Баланс!E45-Баланс!E12)/Баланс!E31</f>
        <v>0.09430468272886665</v>
      </c>
      <c r="F29" s="175">
        <f>E29-D29</f>
        <v>0.09108556240022561</v>
      </c>
      <c r="G29" s="272" t="s">
        <v>340</v>
      </c>
      <c r="H29" s="273" t="s">
        <v>370</v>
      </c>
      <c r="I29" s="273" t="s">
        <v>371</v>
      </c>
      <c r="J29" s="274" t="s">
        <v>337</v>
      </c>
      <c r="M29" s="197"/>
      <c r="N29" s="196"/>
      <c r="O29" s="196"/>
      <c r="P29" s="196"/>
      <c r="Q29" s="197"/>
    </row>
    <row r="30" spans="2:17" s="193" customFormat="1" ht="12">
      <c r="B30" s="191"/>
      <c r="C30" s="189" t="s">
        <v>389</v>
      </c>
      <c r="D30" s="198">
        <f>IF(D29&lt;0.05,0,IF(D29&lt;0.1,1,IF(D29&lt;0.15,3,5)))</f>
        <v>0</v>
      </c>
      <c r="E30" s="199">
        <f>IF(E29&lt;0.05,0,IF(E29&lt;0.1,1,IF(E29&lt;0.15,3,5)))</f>
        <v>1</v>
      </c>
      <c r="F30" s="192"/>
      <c r="G30" s="269"/>
      <c r="H30" s="270"/>
      <c r="I30" s="270"/>
      <c r="J30" s="271"/>
      <c r="M30" s="244"/>
      <c r="N30" s="245"/>
      <c r="O30" s="245"/>
      <c r="P30" s="245"/>
      <c r="Q30" s="244"/>
    </row>
    <row r="31" spans="2:17" s="194" customFormat="1" ht="24">
      <c r="B31" s="181" t="s">
        <v>388</v>
      </c>
      <c r="C31" s="178" t="s">
        <v>435</v>
      </c>
      <c r="D31" s="176">
        <f>ЧА!E26/Баланс!D35</f>
        <v>13.965101108936725</v>
      </c>
      <c r="E31" s="173">
        <f>ЧА!F26/Баланс!E35</f>
        <v>14.84050880626223</v>
      </c>
      <c r="F31" s="175">
        <f>E31-D31</f>
        <v>0.8754076973255049</v>
      </c>
      <c r="G31" s="272" t="s">
        <v>372</v>
      </c>
      <c r="H31" s="273" t="s">
        <v>373</v>
      </c>
      <c r="I31" s="273" t="s">
        <v>374</v>
      </c>
      <c r="J31" s="274" t="s">
        <v>375</v>
      </c>
      <c r="M31" s="197"/>
      <c r="N31" s="196"/>
      <c r="O31" s="196"/>
      <c r="P31" s="196"/>
      <c r="Q31" s="197"/>
    </row>
    <row r="32" spans="2:17" s="193" customFormat="1" ht="12">
      <c r="B32" s="246"/>
      <c r="C32" s="247" t="s">
        <v>389</v>
      </c>
      <c r="D32" s="248">
        <f>IF(D31&lt;1,0,IF(D31&lt;1.5,1,IF(D31&lt;2,3,5)))</f>
        <v>5</v>
      </c>
      <c r="E32" s="249">
        <f>IF(E31&lt;1,0,IF(E31&lt;1.5,1,IF(E31&lt;2,3,5)))</f>
        <v>5</v>
      </c>
      <c r="F32" s="250"/>
      <c r="G32" s="281"/>
      <c r="H32" s="282"/>
      <c r="I32" s="282"/>
      <c r="J32" s="283"/>
      <c r="M32" s="244"/>
      <c r="N32" s="245"/>
      <c r="O32" s="245"/>
      <c r="P32" s="245"/>
      <c r="Q32" s="244"/>
    </row>
    <row r="33" spans="2:17" s="1" customFormat="1" ht="12">
      <c r="B33" s="180" t="s">
        <v>179</v>
      </c>
      <c r="C33" s="177" t="s">
        <v>436</v>
      </c>
      <c r="D33" s="202">
        <f>SUM(D35,D37,D39,D41)/4</f>
        <v>1.5</v>
      </c>
      <c r="E33" s="203">
        <f>SUM(E35,E37,E39,E41)/4</f>
        <v>1.5</v>
      </c>
      <c r="F33" s="260">
        <f>E33-D33</f>
        <v>0</v>
      </c>
      <c r="G33" s="284"/>
      <c r="H33" s="285"/>
      <c r="I33" s="285"/>
      <c r="J33" s="286"/>
      <c r="M33" s="195"/>
      <c r="N33" s="196"/>
      <c r="O33" s="196"/>
      <c r="P33" s="196"/>
      <c r="Q33" s="195"/>
    </row>
    <row r="34" spans="2:17" s="1" customFormat="1" ht="24">
      <c r="B34" s="256" t="s">
        <v>437</v>
      </c>
      <c r="C34" s="257" t="s">
        <v>441</v>
      </c>
      <c r="D34" s="258">
        <f>Баланс!$E$86/Баланс!D65</f>
        <v>0.06734096798461925</v>
      </c>
      <c r="E34" s="172">
        <f>Баланс!$E$86/Баланс!E65</f>
        <v>0.08779539401125559</v>
      </c>
      <c r="F34" s="259">
        <f>E34-D34</f>
        <v>0.020454426026636344</v>
      </c>
      <c r="G34" s="287" t="s">
        <v>340</v>
      </c>
      <c r="H34" s="267" t="s">
        <v>370</v>
      </c>
      <c r="I34" s="267" t="s">
        <v>371</v>
      </c>
      <c r="J34" s="268" t="s">
        <v>337</v>
      </c>
      <c r="M34" s="195"/>
      <c r="N34" s="195"/>
      <c r="O34" s="195"/>
      <c r="P34" s="195"/>
      <c r="Q34" s="195"/>
    </row>
    <row r="35" spans="2:18" s="1" customFormat="1" ht="12">
      <c r="B35" s="191"/>
      <c r="C35" s="189" t="s">
        <v>389</v>
      </c>
      <c r="D35" s="198">
        <f>IF(D34&lt;0.05,0,IF(D34&lt;0.1,1,IF(D34&lt;0.15,3,5)))</f>
        <v>1</v>
      </c>
      <c r="E35" s="199">
        <f>IF(E34&lt;0.05,0,IF(E34&lt;0.1,1,IF(E34&lt;0.15,3,5)))</f>
        <v>1</v>
      </c>
      <c r="F35" s="255"/>
      <c r="G35" s="288"/>
      <c r="H35" s="289"/>
      <c r="I35" s="289"/>
      <c r="J35" s="290"/>
      <c r="K35" s="197"/>
      <c r="L35" s="197"/>
      <c r="M35" s="197"/>
      <c r="N35" s="197"/>
      <c r="O35" s="197"/>
      <c r="P35" s="197"/>
      <c r="Q35" s="197"/>
      <c r="R35" s="197"/>
    </row>
    <row r="36" spans="2:18" s="1" customFormat="1" ht="12">
      <c r="B36" s="181" t="s">
        <v>438</v>
      </c>
      <c r="C36" s="178" t="s">
        <v>442</v>
      </c>
      <c r="D36" s="176">
        <f>Баланс!$E$86/Баланс!D45</f>
        <v>0.3407725757601394</v>
      </c>
      <c r="E36" s="173">
        <f>Баланс!$E$86/Баланс!E45</f>
        <v>0.4426276345574823</v>
      </c>
      <c r="F36" s="254">
        <f>E36-D36</f>
        <v>0.10185505879734286</v>
      </c>
      <c r="G36" s="291" t="s">
        <v>376</v>
      </c>
      <c r="H36" s="273" t="s">
        <v>377</v>
      </c>
      <c r="I36" s="273" t="s">
        <v>378</v>
      </c>
      <c r="J36" s="274" t="s">
        <v>379</v>
      </c>
      <c r="K36" s="196"/>
      <c r="L36" s="196"/>
      <c r="M36" s="196"/>
      <c r="N36" s="196"/>
      <c r="O36" s="196"/>
      <c r="P36" s="196"/>
      <c r="Q36" s="197"/>
      <c r="R36" s="197"/>
    </row>
    <row r="37" spans="2:18" s="1" customFormat="1" ht="12">
      <c r="B37" s="191"/>
      <c r="C37" s="189" t="s">
        <v>389</v>
      </c>
      <c r="D37" s="198">
        <f>IF(D36&lt;0.07,0,IF(D36&lt;0.15,1,IF(D36&lt;0.2,3,5)))</f>
        <v>5</v>
      </c>
      <c r="E37" s="199">
        <f>IF(E36&lt;0.07,0,IF(E36&lt;0.15,1,IF(E36&lt;0.2,3,5)))</f>
        <v>5</v>
      </c>
      <c r="F37" s="255"/>
      <c r="G37" s="288"/>
      <c r="H37" s="292"/>
      <c r="I37" s="293"/>
      <c r="J37" s="294"/>
      <c r="K37" s="197"/>
      <c r="L37" s="197"/>
      <c r="M37" s="197"/>
      <c r="N37" s="196"/>
      <c r="O37" s="196"/>
      <c r="P37" s="196"/>
      <c r="Q37" s="197"/>
      <c r="R37" s="197"/>
    </row>
    <row r="38" spans="2:18" s="1" customFormat="1" ht="12">
      <c r="B38" s="181" t="s">
        <v>439</v>
      </c>
      <c r="C38" s="178" t="s">
        <v>443</v>
      </c>
      <c r="D38" s="176">
        <f>Баланс!$E$86/Баланс!$E$72</f>
        <v>0.03726379398709644</v>
      </c>
      <c r="E38" s="173">
        <f>Баланс!$E$86/Баланс!$E$72</f>
        <v>0.03726379398709644</v>
      </c>
      <c r="F38" s="254">
        <f>E38-D38</f>
        <v>0</v>
      </c>
      <c r="G38" s="291" t="s">
        <v>380</v>
      </c>
      <c r="H38" s="273" t="s">
        <v>381</v>
      </c>
      <c r="I38" s="273" t="s">
        <v>341</v>
      </c>
      <c r="J38" s="274" t="s">
        <v>382</v>
      </c>
      <c r="K38" s="197"/>
      <c r="L38" s="197"/>
      <c r="M38" s="197"/>
      <c r="N38" s="196"/>
      <c r="O38" s="196"/>
      <c r="P38" s="196"/>
      <c r="Q38" s="197"/>
      <c r="R38" s="197"/>
    </row>
    <row r="39" spans="2:18" s="1" customFormat="1" ht="12">
      <c r="B39" s="251"/>
      <c r="C39" s="189" t="s">
        <v>389</v>
      </c>
      <c r="D39" s="252">
        <f>IF(D38&lt;0.1,0,IF(D38&lt;0.2,1,IF(D38&lt;0.3,3,5)))</f>
        <v>0</v>
      </c>
      <c r="E39" s="253">
        <f>IF(E38&lt;0.1,0,IF(E38&lt;0.2,1,IF(E38&lt;0.3,3,5)))</f>
        <v>0</v>
      </c>
      <c r="F39" s="255"/>
      <c r="G39" s="288"/>
      <c r="H39" s="292"/>
      <c r="I39" s="293"/>
      <c r="J39" s="294"/>
      <c r="K39" s="197"/>
      <c r="L39" s="197"/>
      <c r="M39" s="197"/>
      <c r="N39" s="196"/>
      <c r="O39" s="196"/>
      <c r="P39" s="196"/>
      <c r="Q39" s="197"/>
      <c r="R39" s="197"/>
    </row>
    <row r="40" spans="2:18" s="1" customFormat="1" ht="24">
      <c r="B40" s="181" t="s">
        <v>440</v>
      </c>
      <c r="C40" s="178" t="s">
        <v>444</v>
      </c>
      <c r="D40" s="176">
        <f>Баланс!E77/Баланс!E73</f>
        <v>0.06837938935947224</v>
      </c>
      <c r="E40" s="173">
        <f>Баланс!E77/Баланс!E73</f>
        <v>0.06837938935947224</v>
      </c>
      <c r="F40" s="254">
        <f>E40-D40</f>
        <v>0</v>
      </c>
      <c r="G40" s="291" t="s">
        <v>383</v>
      </c>
      <c r="H40" s="273" t="s">
        <v>384</v>
      </c>
      <c r="I40" s="273" t="s">
        <v>342</v>
      </c>
      <c r="J40" s="274" t="s">
        <v>343</v>
      </c>
      <c r="K40" s="197"/>
      <c r="L40" s="197"/>
      <c r="M40" s="197"/>
      <c r="N40" s="196"/>
      <c r="O40" s="196"/>
      <c r="P40" s="196"/>
      <c r="Q40" s="197"/>
      <c r="R40" s="197"/>
    </row>
    <row r="41" spans="2:18" s="1" customFormat="1" ht="12">
      <c r="B41" s="188"/>
      <c r="C41" s="261" t="s">
        <v>389</v>
      </c>
      <c r="D41" s="200">
        <f>IF(D40&lt;0.15,0,IF(D40&lt;0.3,1,IF(D40&lt;0.4,3,5)))</f>
        <v>0</v>
      </c>
      <c r="E41" s="201">
        <f>IF(E40&lt;0.15,0,IF(E40&lt;0.3,1,IF(E40&lt;0.4,3,5)))</f>
        <v>0</v>
      </c>
      <c r="F41" s="262"/>
      <c r="G41" s="295"/>
      <c r="H41" s="296"/>
      <c r="I41" s="297"/>
      <c r="J41" s="298"/>
      <c r="K41" s="197"/>
      <c r="L41" s="197"/>
      <c r="M41" s="197"/>
      <c r="N41" s="196"/>
      <c r="O41" s="196"/>
      <c r="P41" s="196"/>
      <c r="Q41" s="197"/>
      <c r="R41" s="197"/>
    </row>
    <row r="42" spans="8:18" s="1" customFormat="1" ht="12">
      <c r="H42" s="197"/>
      <c r="I42" s="196"/>
      <c r="J42" s="197"/>
      <c r="K42" s="197"/>
      <c r="L42" s="197"/>
      <c r="M42" s="197"/>
      <c r="N42" s="196"/>
      <c r="O42" s="196"/>
      <c r="P42" s="196"/>
      <c r="Q42" s="197"/>
      <c r="R42" s="197"/>
    </row>
    <row r="44" ht="12.75">
      <c r="B44" s="144" t="s">
        <v>315</v>
      </c>
    </row>
    <row r="45" spans="2:18" s="1" customFormat="1" ht="12">
      <c r="B45" s="168" t="s">
        <v>114</v>
      </c>
      <c r="C45" s="170" t="s">
        <v>115</v>
      </c>
      <c r="D45" s="168" t="s">
        <v>166</v>
      </c>
      <c r="E45" s="168"/>
      <c r="F45" s="197"/>
      <c r="H45" s="197"/>
      <c r="I45" s="196"/>
      <c r="J45" s="197"/>
      <c r="K45" s="197"/>
      <c r="L45" s="197"/>
      <c r="M45" s="197"/>
      <c r="N45" s="196"/>
      <c r="O45" s="196"/>
      <c r="P45" s="196"/>
      <c r="Q45" s="197"/>
      <c r="R45" s="197"/>
    </row>
    <row r="46" spans="2:18" s="1" customFormat="1" ht="22.5">
      <c r="B46" s="168"/>
      <c r="C46" s="170"/>
      <c r="D46" s="108" t="s">
        <v>173</v>
      </c>
      <c r="E46" s="108" t="s">
        <v>174</v>
      </c>
      <c r="F46" s="197"/>
      <c r="H46" s="197"/>
      <c r="I46" s="196"/>
      <c r="J46" s="197"/>
      <c r="K46" s="197"/>
      <c r="L46" s="197"/>
      <c r="M46" s="197"/>
      <c r="N46" s="196"/>
      <c r="O46" s="196"/>
      <c r="P46" s="196"/>
      <c r="Q46" s="197"/>
      <c r="R46" s="197"/>
    </row>
    <row r="47" spans="2:5" ht="12.75">
      <c r="B47" s="183" t="s">
        <v>175</v>
      </c>
      <c r="C47" s="184" t="str">
        <f>C5</f>
        <v>Показатели финансовой устойчивости</v>
      </c>
      <c r="D47" s="299" t="str">
        <f>IF(D5&lt;1,"кризисное",IF(D5&lt;3,"неустойчивое",IF(D5&lt;5,"относительно устойчивое","совершенно устойчивое")))</f>
        <v>кризисное</v>
      </c>
      <c r="E47" s="300" t="str">
        <f>IF(E5&lt;1,"кризисное",IF(E5&lt;3,"неустойчивое",IF(E5&lt;5,"относительно устойчивое","совершенно устойчивое")))</f>
        <v>кризисное</v>
      </c>
    </row>
    <row r="48" spans="2:5" ht="12.75">
      <c r="B48" s="181" t="s">
        <v>176</v>
      </c>
      <c r="C48" s="178" t="str">
        <f>C12</f>
        <v>Показатели платежеспособности</v>
      </c>
      <c r="D48" s="301" t="str">
        <f>IF(D12&lt;1,"кризисное",IF(D12&lt;3,"неустойчивое",IF(D12&lt;5,"относительно устойчивое","совершенно устойчивое")))</f>
        <v>кризисное</v>
      </c>
      <c r="E48" s="302" t="str">
        <f>IF(E12&lt;1,"кризисное",IF(E12&lt;3,"неустойчивое",IF(E12&lt;5,"относительно устойчивое","совершенно устойчивое")))</f>
        <v>неустойчивое</v>
      </c>
    </row>
    <row r="49" spans="2:5" ht="24">
      <c r="B49" s="181" t="s">
        <v>177</v>
      </c>
      <c r="C49" s="178" t="str">
        <f>C19</f>
        <v>Показатели деловой активности</v>
      </c>
      <c r="D49" s="301" t="str">
        <f>IF(D19&lt;1,"кризисное",IF(D19&lt;3,"неустойчивое",IF(D19&lt;5,"относительно устойчивое","совершенно устойчивое")))</f>
        <v>совершенно устойчивое</v>
      </c>
      <c r="E49" s="302" t="str">
        <f>IF(E19&lt;1,"кризисное",IF(E19&lt;3,"неустойчивое",IF(E19&lt;5,"относительно устойчивое","совершенно устойчивое")))</f>
        <v>совершенно устойчивое</v>
      </c>
    </row>
    <row r="50" spans="2:5" ht="12.75">
      <c r="B50" s="181" t="s">
        <v>178</v>
      </c>
      <c r="C50" s="178" t="str">
        <f>C26</f>
        <v>Показатели оценки структуры баланса</v>
      </c>
      <c r="D50" s="301" t="str">
        <f>IF(D26&lt;1,"кризисное",IF(D26&lt;3,"неустойчивое",IF(D26&lt;5,"относительно устойчивое","совершенно устойчивое")))</f>
        <v>неустойчивое</v>
      </c>
      <c r="E50" s="302" t="str">
        <f>IF(E26&lt;1,"кризисное",IF(E26&lt;3,"неустойчивое",IF(E26&lt;5,"относительно устойчивое","совершенно устойчивое")))</f>
        <v>неустойчивое</v>
      </c>
    </row>
    <row r="51" spans="2:5" ht="12.75">
      <c r="B51" s="182" t="s">
        <v>179</v>
      </c>
      <c r="C51" s="179" t="str">
        <f>C33</f>
        <v>Показатели рентабельности</v>
      </c>
      <c r="D51" s="205" t="str">
        <f>IF(D33&lt;1,"кризисное",IF(D33&lt;3,"неустойчивое",IF(D33&lt;5,"относительно устойчивое","совершенно устойчивое")))</f>
        <v>неустойчивое</v>
      </c>
      <c r="E51" s="206" t="str">
        <f>IF(E33&lt;1,"кризисное",IF(E33&lt;3,"неустойчивое",IF(E33&lt;5,"относительно устойчивое","совершенно устойчивое")))</f>
        <v>неустойчивое</v>
      </c>
    </row>
  </sheetData>
  <mergeCells count="8">
    <mergeCell ref="G3:J3"/>
    <mergeCell ref="B45:B46"/>
    <mergeCell ref="C45:C46"/>
    <mergeCell ref="D45:E45"/>
    <mergeCell ref="D3:E3"/>
    <mergeCell ref="F3:F4"/>
    <mergeCell ref="B3:B4"/>
    <mergeCell ref="C3:C4"/>
  </mergeCells>
  <printOptions/>
  <pageMargins left="0.1968503937007874" right="0.1968503937007874" top="0.5905511811023623" bottom="0.393700787401574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www.PHILka.RU</cp:lastModifiedBy>
  <cp:lastPrinted>2010-02-11T17:31:54Z</cp:lastPrinted>
  <dcterms:created xsi:type="dcterms:W3CDTF">2010-01-31T15:16:44Z</dcterms:created>
  <dcterms:modified xsi:type="dcterms:W3CDTF">2010-02-11T18:02:32Z</dcterms:modified>
  <cp:category/>
  <cp:version/>
  <cp:contentType/>
  <cp:contentStatus/>
</cp:coreProperties>
</file>